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08" yWindow="-72" windowWidth="11544" windowHeight="8676" activeTab="1"/>
  </bookViews>
  <sheets>
    <sheet name="P. ACCIÓN A 30 DIC DE 2021 " sheetId="1" r:id="rId1"/>
    <sheet name="P. ACCIÓN  CONSOLIDADO 21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_xlnm.Print_Titles" localSheetId="1">'P. ACCIÓN  CONSOLIDADO 21'!$C:$F,'P. ACCIÓN  CONSOLIDADO 21'!$4:$6</definedName>
    <definedName name="_xlnm.Print_Titles" localSheetId="0">'P. ACCIÓN A 30 DIC DE 2021 '!$C:$F,'P. ACCIÓN A 30 DIC DE 2021 '!$3:$5</definedName>
  </definedNames>
  <calcPr calcId="144525"/>
</workbook>
</file>

<file path=xl/calcChain.xml><?xml version="1.0" encoding="utf-8"?>
<calcChain xmlns="http://schemas.openxmlformats.org/spreadsheetml/2006/main">
  <c r="CF204" i="2" l="1"/>
  <c r="CE201" i="2" l="1"/>
  <c r="CE202" i="2"/>
  <c r="CE203" i="2"/>
  <c r="CE200" i="2"/>
  <c r="CE199" i="2"/>
  <c r="H204" i="2" l="1"/>
  <c r="I204" i="2"/>
  <c r="J204" i="2"/>
  <c r="K204" i="2"/>
  <c r="L204" i="2"/>
  <c r="M204" i="2"/>
  <c r="N204" i="2"/>
  <c r="O204" i="2"/>
  <c r="P204" i="2"/>
  <c r="Q204" i="2"/>
  <c r="R204" i="2"/>
  <c r="S204" i="2"/>
  <c r="T204" i="2"/>
  <c r="U204" i="2"/>
  <c r="V204" i="2"/>
  <c r="W204" i="2"/>
  <c r="X204" i="2"/>
  <c r="Y204" i="2"/>
  <c r="Z204" i="2"/>
  <c r="AA204" i="2"/>
  <c r="AB204" i="2"/>
  <c r="AC204" i="2"/>
  <c r="AD204" i="2"/>
  <c r="AE204" i="2"/>
  <c r="AF204" i="2"/>
  <c r="AG204" i="2"/>
  <c r="AH204" i="2"/>
  <c r="AI204" i="2"/>
  <c r="AJ204" i="2"/>
  <c r="AK204" i="2"/>
  <c r="AL204" i="2"/>
  <c r="AM204" i="2"/>
  <c r="AN204" i="2"/>
  <c r="AO204" i="2"/>
  <c r="AP204" i="2"/>
  <c r="AQ204" i="2"/>
  <c r="AR204" i="2"/>
  <c r="AS204" i="2"/>
  <c r="AT204" i="2"/>
  <c r="AU204" i="2"/>
  <c r="AV204" i="2"/>
  <c r="AW204" i="2"/>
  <c r="AX204" i="2"/>
  <c r="AY204" i="2"/>
  <c r="AZ204" i="2"/>
  <c r="BA204" i="2"/>
  <c r="BB204" i="2"/>
  <c r="BC204" i="2"/>
  <c r="BD204" i="2"/>
  <c r="BE204" i="2"/>
  <c r="BF204" i="2"/>
  <c r="BG204" i="2"/>
  <c r="BH204" i="2"/>
  <c r="BI204" i="2"/>
  <c r="BJ204" i="2"/>
  <c r="BK204" i="2"/>
  <c r="BL204" i="2"/>
  <c r="BM204" i="2"/>
  <c r="BN204" i="2"/>
  <c r="BO204" i="2"/>
  <c r="BP204" i="2"/>
  <c r="BQ204" i="2"/>
  <c r="BR204" i="2"/>
  <c r="BS204" i="2"/>
  <c r="BT204" i="2"/>
  <c r="BU204" i="2"/>
  <c r="BV204" i="2"/>
  <c r="BW204" i="2"/>
  <c r="BX204" i="2"/>
  <c r="BY204" i="2"/>
  <c r="BZ204" i="2"/>
  <c r="CA204" i="2"/>
  <c r="CB204" i="2"/>
  <c r="CC204" i="2"/>
  <c r="CD204" i="2"/>
  <c r="G203" i="2" l="1"/>
  <c r="G202" i="2"/>
  <c r="G201" i="2"/>
  <c r="G200" i="2"/>
  <c r="G199" i="2"/>
  <c r="G204" i="2" l="1"/>
  <c r="EG77" i="2"/>
  <c r="DB140" i="2" l="1"/>
  <c r="DA140" i="2"/>
  <c r="CZ140" i="2"/>
  <c r="CW140" i="2"/>
  <c r="CU140" i="2"/>
  <c r="CT140" i="2"/>
  <c r="CS140" i="2"/>
  <c r="CR140" i="2"/>
  <c r="CQ140" i="2"/>
  <c r="CP140" i="2"/>
  <c r="CO140" i="2"/>
  <c r="CN140" i="2"/>
  <c r="CM140" i="2"/>
  <c r="CK140" i="2"/>
  <c r="CJ140" i="2"/>
  <c r="CI140" i="2"/>
  <c r="CG140" i="2"/>
  <c r="BD140" i="2"/>
  <c r="BC140" i="2"/>
  <c r="BB140" i="2"/>
  <c r="AY140" i="2"/>
  <c r="AW140" i="2"/>
  <c r="AV140" i="2"/>
  <c r="AU140" i="2"/>
  <c r="AT140" i="2"/>
  <c r="AS140" i="2"/>
  <c r="AR140" i="2"/>
  <c r="AQ140" i="2"/>
  <c r="AP140" i="2"/>
  <c r="AO140" i="2"/>
  <c r="AM140" i="2"/>
  <c r="AL140" i="2"/>
  <c r="AK140" i="2"/>
  <c r="AI140" i="2"/>
  <c r="AE140" i="2"/>
  <c r="AC140" i="2"/>
  <c r="Z140" i="2"/>
  <c r="X140" i="2"/>
  <c r="W140" i="2"/>
  <c r="V140" i="2"/>
  <c r="U140" i="2"/>
  <c r="T140" i="2"/>
  <c r="S140" i="2"/>
  <c r="R140" i="2"/>
  <c r="Q140" i="2"/>
  <c r="P140" i="2"/>
  <c r="O140" i="2"/>
  <c r="N140" i="2"/>
  <c r="M140" i="2"/>
  <c r="L140" i="2"/>
  <c r="J140" i="2"/>
  <c r="DB139" i="2"/>
  <c r="DA139" i="2"/>
  <c r="CZ139" i="2"/>
  <c r="CV139" i="2"/>
  <c r="CU139" i="2"/>
  <c r="CT139" i="2"/>
  <c r="CS139" i="2"/>
  <c r="CQ139" i="2"/>
  <c r="CP139" i="2"/>
  <c r="CO139" i="2"/>
  <c r="CN139" i="2"/>
  <c r="CM139" i="2"/>
  <c r="CL139" i="2"/>
  <c r="CK139" i="2"/>
  <c r="CJ139" i="2"/>
  <c r="CI139" i="2"/>
  <c r="CG139" i="2"/>
  <c r="BD139" i="2"/>
  <c r="BC139" i="2"/>
  <c r="BB139" i="2"/>
  <c r="AX139" i="2"/>
  <c r="AW139" i="2"/>
  <c r="AV139" i="2"/>
  <c r="AU139" i="2"/>
  <c r="AS139" i="2"/>
  <c r="AR139" i="2"/>
  <c r="AQ139" i="2"/>
  <c r="AP139" i="2"/>
  <c r="AO139" i="2"/>
  <c r="AN139" i="2"/>
  <c r="AM139" i="2"/>
  <c r="AL139" i="2"/>
  <c r="AK139" i="2"/>
  <c r="AI139" i="2"/>
  <c r="AC139" i="2"/>
  <c r="Z139" i="2"/>
  <c r="Y139" i="2"/>
  <c r="X139" i="2"/>
  <c r="W139" i="2"/>
  <c r="V139" i="2"/>
  <c r="T139" i="2"/>
  <c r="S139" i="2"/>
  <c r="R139" i="2"/>
  <c r="Q139" i="2"/>
  <c r="P139" i="2"/>
  <c r="O139" i="2"/>
  <c r="N139" i="2"/>
  <c r="M139" i="2"/>
  <c r="L139" i="2"/>
  <c r="J139" i="2"/>
  <c r="DB138" i="2"/>
  <c r="CZ138" i="2"/>
  <c r="CW138" i="2"/>
  <c r="CT138" i="2"/>
  <c r="CS138" i="2"/>
  <c r="CM138" i="2"/>
  <c r="CL138" i="2"/>
  <c r="CK138" i="2"/>
  <c r="CJ138" i="2"/>
  <c r="CI138" i="2"/>
  <c r="CG138" i="2"/>
  <c r="BD138" i="2"/>
  <c r="BB138" i="2"/>
  <c r="AY138" i="2"/>
  <c r="AV138" i="2"/>
  <c r="AU138" i="2"/>
  <c r="AO138" i="2"/>
  <c r="AN138" i="2"/>
  <c r="AM138" i="2"/>
  <c r="AL138" i="2"/>
  <c r="AK138" i="2"/>
  <c r="AI138" i="2"/>
  <c r="AE138" i="2"/>
  <c r="AC138" i="2"/>
  <c r="AB138" i="2"/>
  <c r="Z138" i="2"/>
  <c r="W138" i="2"/>
  <c r="V138" i="2"/>
  <c r="T138" i="2"/>
  <c r="P138" i="2"/>
  <c r="O138" i="2"/>
  <c r="N138" i="2"/>
  <c r="M138" i="2"/>
  <c r="L138" i="2"/>
  <c r="J138" i="2"/>
  <c r="DB137" i="2"/>
  <c r="DA137" i="2"/>
  <c r="CZ137" i="2"/>
  <c r="CY137" i="2"/>
  <c r="CX137" i="2"/>
  <c r="CV137" i="2"/>
  <c r="CU137" i="2"/>
  <c r="CT137" i="2"/>
  <c r="CS137" i="2"/>
  <c r="CQ137" i="2"/>
  <c r="CP137" i="2"/>
  <c r="CO137" i="2"/>
  <c r="CN137" i="2"/>
  <c r="CM137" i="2"/>
  <c r="CL137" i="2"/>
  <c r="CK137" i="2"/>
  <c r="CI137" i="2"/>
  <c r="CG137" i="2"/>
  <c r="BD137" i="2"/>
  <c r="BC137" i="2"/>
  <c r="BB137" i="2"/>
  <c r="BA137" i="2"/>
  <c r="AZ137" i="2"/>
  <c r="AX137" i="2"/>
  <c r="AW137" i="2"/>
  <c r="AV137" i="2"/>
  <c r="AU137" i="2"/>
  <c r="AS137" i="2"/>
  <c r="AR137" i="2"/>
  <c r="AQ137" i="2"/>
  <c r="AP137" i="2"/>
  <c r="AO137" i="2"/>
  <c r="AN137" i="2"/>
  <c r="AM137" i="2"/>
  <c r="AK137" i="2"/>
  <c r="AI137" i="2"/>
  <c r="AE137" i="2"/>
  <c r="AC137" i="2"/>
  <c r="AB137" i="2"/>
  <c r="AA137" i="2"/>
  <c r="Z137" i="2"/>
  <c r="Y137" i="2"/>
  <c r="X137" i="2"/>
  <c r="W137" i="2"/>
  <c r="V137" i="2"/>
  <c r="T137" i="2"/>
  <c r="S137" i="2"/>
  <c r="R137" i="2"/>
  <c r="Q137" i="2"/>
  <c r="P137" i="2"/>
  <c r="O137" i="2"/>
  <c r="N137" i="2"/>
  <c r="L137" i="2"/>
  <c r="J137" i="2"/>
  <c r="DB136" i="2"/>
  <c r="DA136" i="2"/>
  <c r="CY136" i="2"/>
  <c r="CV136" i="2"/>
  <c r="CU136" i="2"/>
  <c r="CT136" i="2"/>
  <c r="CS136" i="2"/>
  <c r="CR136" i="2"/>
  <c r="CQ136" i="2"/>
  <c r="CP136" i="2"/>
  <c r="CO136" i="2"/>
  <c r="CN136" i="2"/>
  <c r="CM136" i="2"/>
  <c r="CL136" i="2"/>
  <c r="CK136" i="2"/>
  <c r="BD136" i="2"/>
  <c r="BC136" i="2"/>
  <c r="BA136" i="2"/>
  <c r="AX136" i="2"/>
  <c r="AW136" i="2"/>
  <c r="AV136" i="2"/>
  <c r="AU136" i="2"/>
  <c r="AT136" i="2"/>
  <c r="AS136" i="2"/>
  <c r="AR136" i="2"/>
  <c r="AQ136" i="2"/>
  <c r="AP136" i="2"/>
  <c r="AO136" i="2"/>
  <c r="AN136" i="2"/>
  <c r="AM136" i="2"/>
  <c r="AE136" i="2"/>
  <c r="AB136" i="2"/>
  <c r="Z136" i="2"/>
  <c r="Y136" i="2"/>
  <c r="X136" i="2"/>
  <c r="W136" i="2"/>
  <c r="V136" i="2"/>
  <c r="U136" i="2"/>
  <c r="T136" i="2"/>
  <c r="S136" i="2"/>
  <c r="R136" i="2"/>
  <c r="Q136" i="2"/>
  <c r="P136" i="2"/>
  <c r="O136" i="2"/>
  <c r="N136" i="2"/>
  <c r="L136" i="2"/>
  <c r="K136" i="2"/>
  <c r="DA135" i="2"/>
  <c r="CW135" i="2"/>
  <c r="CV135" i="2"/>
  <c r="CU135" i="2"/>
  <c r="CT135" i="2"/>
  <c r="CS135" i="2"/>
  <c r="CQ135" i="2"/>
  <c r="CP135" i="2"/>
  <c r="CO135" i="2"/>
  <c r="CL135" i="2"/>
  <c r="CK135" i="2"/>
  <c r="CI135" i="2"/>
  <c r="BC135" i="2"/>
  <c r="AY135" i="2"/>
  <c r="AX135" i="2"/>
  <c r="AW135" i="2"/>
  <c r="AV135" i="2"/>
  <c r="AU135" i="2"/>
  <c r="AS135" i="2"/>
  <c r="AR135" i="2"/>
  <c r="AQ135" i="2"/>
  <c r="AN135" i="2"/>
  <c r="AM135" i="2"/>
  <c r="AK135" i="2"/>
  <c r="AB135" i="2"/>
  <c r="Z135" i="2"/>
  <c r="Y135" i="2"/>
  <c r="X135" i="2"/>
  <c r="W135" i="2"/>
  <c r="V135" i="2"/>
  <c r="T135" i="2"/>
  <c r="R135" i="2"/>
  <c r="P135" i="2"/>
  <c r="O135" i="2"/>
  <c r="N135" i="2"/>
  <c r="L135" i="2"/>
  <c r="DB134" i="2"/>
  <c r="DA134" i="2"/>
  <c r="CZ134" i="2"/>
  <c r="CY134" i="2"/>
  <c r="CW134" i="2"/>
  <c r="CV134" i="2"/>
  <c r="CU134" i="2"/>
  <c r="CS134" i="2"/>
  <c r="CR134" i="2"/>
  <c r="CQ134" i="2"/>
  <c r="CP134" i="2"/>
  <c r="CO134" i="2"/>
  <c r="CN134" i="2"/>
  <c r="CM134" i="2"/>
  <c r="CL134" i="2"/>
  <c r="CI134" i="2"/>
  <c r="CH134" i="2"/>
  <c r="BD134" i="2"/>
  <c r="BC134" i="2"/>
  <c r="BB134" i="2"/>
  <c r="BA134" i="2"/>
  <c r="AY134" i="2"/>
  <c r="AX134" i="2"/>
  <c r="AW134" i="2"/>
  <c r="AU134" i="2"/>
  <c r="AT134" i="2"/>
  <c r="AS134" i="2"/>
  <c r="AR134" i="2"/>
  <c r="AQ134" i="2"/>
  <c r="AP134" i="2"/>
  <c r="AO134" i="2"/>
  <c r="AN134" i="2"/>
  <c r="AK134" i="2"/>
  <c r="AD134" i="2"/>
  <c r="AC134" i="2"/>
  <c r="AB134" i="2"/>
  <c r="AA134" i="2"/>
  <c r="Z134" i="2"/>
  <c r="Y134" i="2"/>
  <c r="X134" i="2"/>
  <c r="W134" i="2"/>
  <c r="U134" i="2"/>
  <c r="T134" i="2"/>
  <c r="Q134" i="2"/>
  <c r="P134" i="2"/>
  <c r="O134" i="2"/>
  <c r="N134" i="2"/>
  <c r="L134" i="2"/>
  <c r="J134" i="2"/>
  <c r="DA130" i="2"/>
  <c r="CW130" i="2"/>
  <c r="CV130" i="2"/>
  <c r="CU130" i="2"/>
  <c r="CS130" i="2"/>
  <c r="CQ130" i="2"/>
  <c r="CP130" i="2"/>
  <c r="CO130" i="2"/>
  <c r="CL130" i="2"/>
  <c r="CI130" i="2"/>
  <c r="BC130" i="2"/>
  <c r="AY130" i="2"/>
  <c r="AX130" i="2"/>
  <c r="AW130" i="2"/>
  <c r="AU130" i="2"/>
  <c r="AS130" i="2"/>
  <c r="AR130" i="2"/>
  <c r="AQ130" i="2"/>
  <c r="AN130" i="2"/>
  <c r="AK130" i="2"/>
  <c r="AD130" i="2"/>
  <c r="Z130" i="2"/>
  <c r="Y130" i="2"/>
  <c r="X130" i="2"/>
  <c r="W130" i="2"/>
  <c r="T130" i="2"/>
  <c r="P130" i="2"/>
  <c r="O130" i="2"/>
  <c r="N130" i="2"/>
  <c r="L130" i="2"/>
  <c r="H130" i="2"/>
  <c r="EA129" i="2"/>
  <c r="DZ129" i="2"/>
  <c r="DY129" i="2"/>
  <c r="DX129" i="2"/>
  <c r="DW129" i="2"/>
  <c r="DV129" i="2"/>
  <c r="DU129" i="2"/>
  <c r="DT129" i="2"/>
  <c r="DS129" i="2"/>
  <c r="DR129" i="2"/>
  <c r="DQ129" i="2"/>
  <c r="DP129" i="2"/>
  <c r="DO129" i="2"/>
  <c r="DN129" i="2"/>
  <c r="DM129" i="2"/>
  <c r="DL129" i="2"/>
  <c r="DK129" i="2"/>
  <c r="DJ129" i="2"/>
  <c r="DI129" i="2"/>
  <c r="DH129" i="2"/>
  <c r="DF129" i="2"/>
  <c r="DC129" i="2"/>
  <c r="CH129" i="2"/>
  <c r="CC129" i="2"/>
  <c r="CB129" i="2"/>
  <c r="CA129" i="2"/>
  <c r="BZ129" i="2"/>
  <c r="BY129" i="2"/>
  <c r="BX129" i="2"/>
  <c r="BW129" i="2"/>
  <c r="BV129" i="2"/>
  <c r="BU129" i="2"/>
  <c r="BT129" i="2"/>
  <c r="BS129" i="2"/>
  <c r="BR129" i="2"/>
  <c r="BQ129" i="2"/>
  <c r="BP129" i="2"/>
  <c r="BO129" i="2"/>
  <c r="BN129" i="2"/>
  <c r="BM129" i="2"/>
  <c r="BL129" i="2"/>
  <c r="BK129" i="2"/>
  <c r="BJ129" i="2"/>
  <c r="BH129" i="2"/>
  <c r="BE129" i="2"/>
  <c r="AJ129" i="2"/>
  <c r="AF129" i="2"/>
  <c r="K129" i="2"/>
  <c r="EB128" i="2"/>
  <c r="EA128" i="2"/>
  <c r="DZ128" i="2"/>
  <c r="DY128" i="2"/>
  <c r="DX128" i="2"/>
  <c r="DW128" i="2"/>
  <c r="DV128" i="2"/>
  <c r="DU128" i="2"/>
  <c r="DT128" i="2"/>
  <c r="DS128" i="2"/>
  <c r="DR128" i="2"/>
  <c r="DQ128" i="2"/>
  <c r="DP128" i="2"/>
  <c r="DO128" i="2"/>
  <c r="DN128" i="2"/>
  <c r="DM128" i="2"/>
  <c r="DL128" i="2"/>
  <c r="DK128" i="2"/>
  <c r="DJ128" i="2"/>
  <c r="DI128" i="2"/>
  <c r="DH128" i="2"/>
  <c r="DF128" i="2"/>
  <c r="CH128" i="2"/>
  <c r="CF128" i="2" s="1"/>
  <c r="EF128" i="2" s="1"/>
  <c r="CD128" i="2"/>
  <c r="CC128" i="2"/>
  <c r="CB128" i="2"/>
  <c r="CA128" i="2"/>
  <c r="BZ128" i="2"/>
  <c r="BY128" i="2"/>
  <c r="BX128" i="2"/>
  <c r="BW128" i="2"/>
  <c r="BV128" i="2"/>
  <c r="BU128" i="2"/>
  <c r="BT128" i="2"/>
  <c r="BS128" i="2"/>
  <c r="BR128" i="2"/>
  <c r="BQ128" i="2"/>
  <c r="BP128" i="2"/>
  <c r="BO128" i="2"/>
  <c r="BN128" i="2"/>
  <c r="BM128" i="2"/>
  <c r="BL128" i="2"/>
  <c r="BK128" i="2"/>
  <c r="BJ128" i="2"/>
  <c r="BH128" i="2"/>
  <c r="AJ128" i="2"/>
  <c r="AH128" i="2" s="1"/>
  <c r="K128" i="2"/>
  <c r="EB127" i="2"/>
  <c r="EA127" i="2"/>
  <c r="DZ127" i="2"/>
  <c r="DY127" i="2"/>
  <c r="DV127" i="2"/>
  <c r="DU127" i="2"/>
  <c r="DT127" i="2"/>
  <c r="DS127" i="2"/>
  <c r="DR127" i="2"/>
  <c r="DQ127" i="2"/>
  <c r="DP127" i="2"/>
  <c r="DO127" i="2"/>
  <c r="DN127" i="2"/>
  <c r="DM127" i="2"/>
  <c r="DL127" i="2"/>
  <c r="DK127" i="2"/>
  <c r="DJ127" i="2"/>
  <c r="DI127" i="2"/>
  <c r="DH127" i="2"/>
  <c r="DF127" i="2"/>
  <c r="CY127" i="2"/>
  <c r="CX127" i="2"/>
  <c r="CH127" i="2"/>
  <c r="DG127" i="2" s="1"/>
  <c r="CD127" i="2"/>
  <c r="CC127" i="2"/>
  <c r="CB127" i="2"/>
  <c r="CA127" i="2"/>
  <c r="BX127" i="2"/>
  <c r="BW127" i="2"/>
  <c r="BV127" i="2"/>
  <c r="BU127" i="2"/>
  <c r="BT127" i="2"/>
  <c r="BS127" i="2"/>
  <c r="BR127" i="2"/>
  <c r="BQ127" i="2"/>
  <c r="BP127" i="2"/>
  <c r="BO127" i="2"/>
  <c r="BN127" i="2"/>
  <c r="BM127" i="2"/>
  <c r="BL127" i="2"/>
  <c r="BK127" i="2"/>
  <c r="BJ127" i="2"/>
  <c r="BH127" i="2"/>
  <c r="BA127" i="2"/>
  <c r="AZ127" i="2"/>
  <c r="AJ127" i="2"/>
  <c r="AB127" i="2"/>
  <c r="AA127" i="2"/>
  <c r="EA126" i="2"/>
  <c r="DZ126" i="2"/>
  <c r="DY126" i="2"/>
  <c r="DX126" i="2"/>
  <c r="DW126" i="2"/>
  <c r="DV126" i="2"/>
  <c r="DU126" i="2"/>
  <c r="DT126" i="2"/>
  <c r="DS126" i="2"/>
  <c r="DR126" i="2"/>
  <c r="DQ126" i="2"/>
  <c r="DP126" i="2"/>
  <c r="DO126" i="2"/>
  <c r="DN126" i="2"/>
  <c r="DM126" i="2"/>
  <c r="DL126" i="2"/>
  <c r="DK126" i="2"/>
  <c r="DJ126" i="2"/>
  <c r="DI126" i="2"/>
  <c r="DH126" i="2"/>
  <c r="DF126" i="2"/>
  <c r="DC126" i="2"/>
  <c r="CH126" i="2"/>
  <c r="CC126" i="2"/>
  <c r="CB126" i="2"/>
  <c r="CA126" i="2"/>
  <c r="BZ126" i="2"/>
  <c r="BY126" i="2"/>
  <c r="BX126" i="2"/>
  <c r="BW126" i="2"/>
  <c r="BV126" i="2"/>
  <c r="BU126" i="2"/>
  <c r="BT126" i="2"/>
  <c r="BS126" i="2"/>
  <c r="BR126" i="2"/>
  <c r="BQ126" i="2"/>
  <c r="BP126" i="2"/>
  <c r="BO126" i="2"/>
  <c r="BN126" i="2"/>
  <c r="BM126" i="2"/>
  <c r="BL126" i="2"/>
  <c r="BK126" i="2"/>
  <c r="BJ126" i="2"/>
  <c r="BH126" i="2"/>
  <c r="BE126" i="2"/>
  <c r="AJ126" i="2"/>
  <c r="AF126" i="2"/>
  <c r="K126" i="2"/>
  <c r="EB125" i="2"/>
  <c r="EA125" i="2"/>
  <c r="DZ125" i="2"/>
  <c r="DY125" i="2"/>
  <c r="DW125" i="2"/>
  <c r="DV125" i="2"/>
  <c r="DU125" i="2"/>
  <c r="DT125" i="2"/>
  <c r="DS125" i="2"/>
  <c r="DR125" i="2"/>
  <c r="DQ125" i="2"/>
  <c r="DP125" i="2"/>
  <c r="DO125" i="2"/>
  <c r="DN125" i="2"/>
  <c r="DM125" i="2"/>
  <c r="DL125" i="2"/>
  <c r="DK125" i="2"/>
  <c r="DJ125" i="2"/>
  <c r="DI125" i="2"/>
  <c r="DH125" i="2"/>
  <c r="DF125" i="2"/>
  <c r="CY125" i="2"/>
  <c r="CH125" i="2"/>
  <c r="DG125" i="2" s="1"/>
  <c r="CD125" i="2"/>
  <c r="CC125" i="2"/>
  <c r="CB125" i="2"/>
  <c r="CA125" i="2"/>
  <c r="BY125" i="2"/>
  <c r="BX125" i="2"/>
  <c r="BW125" i="2"/>
  <c r="BV125" i="2"/>
  <c r="BU125" i="2"/>
  <c r="BT125" i="2"/>
  <c r="BS125" i="2"/>
  <c r="BR125" i="2"/>
  <c r="BQ125" i="2"/>
  <c r="BP125" i="2"/>
  <c r="BO125" i="2"/>
  <c r="BN125" i="2"/>
  <c r="BM125" i="2"/>
  <c r="BL125" i="2"/>
  <c r="BK125" i="2"/>
  <c r="BJ125" i="2"/>
  <c r="BH125" i="2"/>
  <c r="BA125" i="2"/>
  <c r="AJ125" i="2"/>
  <c r="AB125" i="2"/>
  <c r="G125" i="2" s="1"/>
  <c r="EE125" i="2" s="1"/>
  <c r="EB124" i="2"/>
  <c r="EA124" i="2"/>
  <c r="DZ124" i="2"/>
  <c r="DY124" i="2"/>
  <c r="DV124" i="2"/>
  <c r="DU124" i="2"/>
  <c r="DT124" i="2"/>
  <c r="DS124" i="2"/>
  <c r="DR124" i="2"/>
  <c r="DQ124" i="2"/>
  <c r="DP124" i="2"/>
  <c r="DO124" i="2"/>
  <c r="DN124" i="2"/>
  <c r="DM124" i="2"/>
  <c r="DL124" i="2"/>
  <c r="DK124" i="2"/>
  <c r="DJ124" i="2"/>
  <c r="DI124" i="2"/>
  <c r="DH124" i="2"/>
  <c r="DF124" i="2"/>
  <c r="CY124" i="2"/>
  <c r="CX124" i="2"/>
  <c r="CH124" i="2"/>
  <c r="CD124" i="2"/>
  <c r="CC124" i="2"/>
  <c r="CB124" i="2"/>
  <c r="CA124" i="2"/>
  <c r="BX124" i="2"/>
  <c r="BW124" i="2"/>
  <c r="BV124" i="2"/>
  <c r="BU124" i="2"/>
  <c r="BT124" i="2"/>
  <c r="BS124" i="2"/>
  <c r="BR124" i="2"/>
  <c r="BQ124" i="2"/>
  <c r="BP124" i="2"/>
  <c r="BO124" i="2"/>
  <c r="BN124" i="2"/>
  <c r="BM124" i="2"/>
  <c r="BL124" i="2"/>
  <c r="BK124" i="2"/>
  <c r="BJ124" i="2"/>
  <c r="BH124" i="2"/>
  <c r="BA124" i="2"/>
  <c r="BZ124" i="2" s="1"/>
  <c r="AZ124" i="2"/>
  <c r="AJ124" i="2"/>
  <c r="AA124" i="2"/>
  <c r="K124" i="2"/>
  <c r="EB123" i="2"/>
  <c r="EA123" i="2"/>
  <c r="DZ123" i="2"/>
  <c r="DY123" i="2"/>
  <c r="DX123" i="2"/>
  <c r="DV123" i="2"/>
  <c r="DU123" i="2"/>
  <c r="DT123" i="2"/>
  <c r="DS123" i="2"/>
  <c r="DR123" i="2"/>
  <c r="DQ123" i="2"/>
  <c r="DP123" i="2"/>
  <c r="DO123" i="2"/>
  <c r="DN123" i="2"/>
  <c r="DM123" i="2"/>
  <c r="DL123" i="2"/>
  <c r="DK123" i="2"/>
  <c r="DJ123" i="2"/>
  <c r="DI123" i="2"/>
  <c r="DH123" i="2"/>
  <c r="DF123" i="2"/>
  <c r="CX123" i="2"/>
  <c r="DW123" i="2" s="1"/>
  <c r="CH123" i="2"/>
  <c r="DG123" i="2" s="1"/>
  <c r="CD123" i="2"/>
  <c r="CC123" i="2"/>
  <c r="CB123" i="2"/>
  <c r="CA123" i="2"/>
  <c r="BZ123" i="2"/>
  <c r="BX123" i="2"/>
  <c r="BW123" i="2"/>
  <c r="BV123" i="2"/>
  <c r="BU123" i="2"/>
  <c r="BT123" i="2"/>
  <c r="BS123" i="2"/>
  <c r="BR123" i="2"/>
  <c r="BQ123" i="2"/>
  <c r="BP123" i="2"/>
  <c r="BO123" i="2"/>
  <c r="BN123" i="2"/>
  <c r="BM123" i="2"/>
  <c r="BL123" i="2"/>
  <c r="BK123" i="2"/>
  <c r="BJ123" i="2"/>
  <c r="BH123" i="2"/>
  <c r="AZ123" i="2"/>
  <c r="BY123" i="2" s="1"/>
  <c r="AJ123" i="2"/>
  <c r="G123" i="2"/>
  <c r="EE123" i="2" s="1"/>
  <c r="EB122" i="2"/>
  <c r="EA122" i="2"/>
  <c r="DZ122" i="2"/>
  <c r="DY122" i="2"/>
  <c r="DX122" i="2"/>
  <c r="DW122" i="2"/>
  <c r="DV122" i="2"/>
  <c r="DU122" i="2"/>
  <c r="DT122" i="2"/>
  <c r="DS122" i="2"/>
  <c r="DR122" i="2"/>
  <c r="DQ122" i="2"/>
  <c r="DP122" i="2"/>
  <c r="DO122" i="2"/>
  <c r="DN122" i="2"/>
  <c r="DM122" i="2"/>
  <c r="DL122" i="2"/>
  <c r="DK122" i="2"/>
  <c r="DJ122" i="2"/>
  <c r="DI122" i="2"/>
  <c r="DH122" i="2"/>
  <c r="DF122" i="2"/>
  <c r="CH122" i="2"/>
  <c r="CF122" i="2" s="1"/>
  <c r="EF122" i="2" s="1"/>
  <c r="CD122" i="2"/>
  <c r="CC122" i="2"/>
  <c r="CB122" i="2"/>
  <c r="CA122" i="2"/>
  <c r="BZ122" i="2"/>
  <c r="BY122" i="2"/>
  <c r="BX122" i="2"/>
  <c r="BW122" i="2"/>
  <c r="BV122" i="2"/>
  <c r="BU122" i="2"/>
  <c r="BT122" i="2"/>
  <c r="BS122" i="2"/>
  <c r="BR122" i="2"/>
  <c r="BQ122" i="2"/>
  <c r="BP122" i="2"/>
  <c r="BO122" i="2"/>
  <c r="BN122" i="2"/>
  <c r="BM122" i="2"/>
  <c r="BL122" i="2"/>
  <c r="BK122" i="2"/>
  <c r="BJ122" i="2"/>
  <c r="BH122" i="2"/>
  <c r="AJ122" i="2"/>
  <c r="AH122" i="2" s="1"/>
  <c r="K122" i="2"/>
  <c r="EB121" i="2"/>
  <c r="EA121" i="2"/>
  <c r="DZ121" i="2"/>
  <c r="DY121" i="2"/>
  <c r="DX121" i="2"/>
  <c r="DV121" i="2"/>
  <c r="DU121" i="2"/>
  <c r="DT121" i="2"/>
  <c r="DS121" i="2"/>
  <c r="DR121" i="2"/>
  <c r="DQ121" i="2"/>
  <c r="DP121" i="2"/>
  <c r="DO121" i="2"/>
  <c r="DN121" i="2"/>
  <c r="DM121" i="2"/>
  <c r="DL121" i="2"/>
  <c r="DK121" i="2"/>
  <c r="DJ121" i="2"/>
  <c r="DI121" i="2"/>
  <c r="DH121" i="2"/>
  <c r="DF121" i="2"/>
  <c r="CX121" i="2"/>
  <c r="CH121" i="2"/>
  <c r="CD121" i="2"/>
  <c r="CC121" i="2"/>
  <c r="CB121" i="2"/>
  <c r="CA121" i="2"/>
  <c r="BZ121" i="2"/>
  <c r="BX121" i="2"/>
  <c r="BW121" i="2"/>
  <c r="BV121" i="2"/>
  <c r="BU121" i="2"/>
  <c r="BT121" i="2"/>
  <c r="BS121" i="2"/>
  <c r="BR121" i="2"/>
  <c r="BQ121" i="2"/>
  <c r="BP121" i="2"/>
  <c r="BO121" i="2"/>
  <c r="BN121" i="2"/>
  <c r="BM121" i="2"/>
  <c r="BL121" i="2"/>
  <c r="BK121" i="2"/>
  <c r="BJ121" i="2"/>
  <c r="BH121" i="2"/>
  <c r="AZ121" i="2"/>
  <c r="AJ121" i="2"/>
  <c r="BI121" i="2" s="1"/>
  <c r="AA121" i="2"/>
  <c r="G121" i="2" s="1"/>
  <c r="EA120" i="2"/>
  <c r="DZ120" i="2"/>
  <c r="DY120" i="2"/>
  <c r="DX120" i="2"/>
  <c r="DV120" i="2"/>
  <c r="DU120" i="2"/>
  <c r="DT120" i="2"/>
  <c r="DS120" i="2"/>
  <c r="DR120" i="2"/>
  <c r="DQ120" i="2"/>
  <c r="DP120" i="2"/>
  <c r="DO120" i="2"/>
  <c r="DN120" i="2"/>
  <c r="DM120" i="2"/>
  <c r="DL120" i="2"/>
  <c r="DK120" i="2"/>
  <c r="DJ120" i="2"/>
  <c r="DH120" i="2"/>
  <c r="DC120" i="2"/>
  <c r="EB120" i="2" s="1"/>
  <c r="CX120" i="2"/>
  <c r="DW120" i="2" s="1"/>
  <c r="CJ120" i="2"/>
  <c r="CH120" i="2"/>
  <c r="DG120" i="2" s="1"/>
  <c r="CG120" i="2"/>
  <c r="CC120" i="2"/>
  <c r="CB120" i="2"/>
  <c r="CA120" i="2"/>
  <c r="BZ120" i="2"/>
  <c r="BX120" i="2"/>
  <c r="BW120" i="2"/>
  <c r="BV120" i="2"/>
  <c r="BU120" i="2"/>
  <c r="BT120" i="2"/>
  <c r="BS120" i="2"/>
  <c r="BR120" i="2"/>
  <c r="BQ120" i="2"/>
  <c r="BP120" i="2"/>
  <c r="BO120" i="2"/>
  <c r="BN120" i="2"/>
  <c r="BM120" i="2"/>
  <c r="BL120" i="2"/>
  <c r="BJ120" i="2"/>
  <c r="BE120" i="2"/>
  <c r="CD120" i="2" s="1"/>
  <c r="AZ120" i="2"/>
  <c r="BY120" i="2" s="1"/>
  <c r="AL120" i="2"/>
  <c r="AJ120" i="2"/>
  <c r="BI120" i="2" s="1"/>
  <c r="AI120" i="2"/>
  <c r="M120" i="2"/>
  <c r="J120" i="2"/>
  <c r="G120" i="2" s="1"/>
  <c r="EE120" i="2" s="1"/>
  <c r="EB119" i="2"/>
  <c r="EA119" i="2"/>
  <c r="DZ119" i="2"/>
  <c r="DY119" i="2"/>
  <c r="DV119" i="2"/>
  <c r="DU119" i="2"/>
  <c r="DT119" i="2"/>
  <c r="DS119" i="2"/>
  <c r="DR119" i="2"/>
  <c r="DQ119" i="2"/>
  <c r="DP119" i="2"/>
  <c r="DO119" i="2"/>
  <c r="DN119" i="2"/>
  <c r="DM119" i="2"/>
  <c r="DL119" i="2"/>
  <c r="DK119" i="2"/>
  <c r="DJ119" i="2"/>
  <c r="DI119" i="2"/>
  <c r="DH119" i="2"/>
  <c r="DF119" i="2"/>
  <c r="CY119" i="2"/>
  <c r="CY135" i="2" s="1"/>
  <c r="CX119" i="2"/>
  <c r="CH119" i="2"/>
  <c r="CD119" i="2"/>
  <c r="CC119" i="2"/>
  <c r="CB119" i="2"/>
  <c r="CA119" i="2"/>
  <c r="BX119" i="2"/>
  <c r="BW119" i="2"/>
  <c r="BV119" i="2"/>
  <c r="BU119" i="2"/>
  <c r="BT119" i="2"/>
  <c r="BS119" i="2"/>
  <c r="BR119" i="2"/>
  <c r="BQ119" i="2"/>
  <c r="BP119" i="2"/>
  <c r="BO119" i="2"/>
  <c r="BN119" i="2"/>
  <c r="BM119" i="2"/>
  <c r="BL119" i="2"/>
  <c r="BK119" i="2"/>
  <c r="BJ119" i="2"/>
  <c r="BH119" i="2"/>
  <c r="BA119" i="2"/>
  <c r="BZ119" i="2" s="1"/>
  <c r="AZ119" i="2"/>
  <c r="BY119" i="2" s="1"/>
  <c r="AJ119" i="2"/>
  <c r="BI119" i="2" s="1"/>
  <c r="AA119" i="2"/>
  <c r="G119" i="2" s="1"/>
  <c r="EB118" i="2"/>
  <c r="EA118" i="2"/>
  <c r="DZ118" i="2"/>
  <c r="DY118" i="2"/>
  <c r="DX118" i="2"/>
  <c r="DV118" i="2"/>
  <c r="DU118" i="2"/>
  <c r="DT118" i="2"/>
  <c r="DS118" i="2"/>
  <c r="DR118" i="2"/>
  <c r="DQ118" i="2"/>
  <c r="DP118" i="2"/>
  <c r="DO118" i="2"/>
  <c r="DN118" i="2"/>
  <c r="DM118" i="2"/>
  <c r="DL118" i="2"/>
  <c r="DK118" i="2"/>
  <c r="DJ118" i="2"/>
  <c r="DI118" i="2"/>
  <c r="DH118" i="2"/>
  <c r="DF118" i="2"/>
  <c r="CX118" i="2"/>
  <c r="CH118" i="2"/>
  <c r="CD118" i="2"/>
  <c r="CC118" i="2"/>
  <c r="CB118" i="2"/>
  <c r="CA118" i="2"/>
  <c r="BZ118" i="2"/>
  <c r="BX118" i="2"/>
  <c r="BW118" i="2"/>
  <c r="BV118" i="2"/>
  <c r="BU118" i="2"/>
  <c r="BT118" i="2"/>
  <c r="BS118" i="2"/>
  <c r="BR118" i="2"/>
  <c r="BQ118" i="2"/>
  <c r="BP118" i="2"/>
  <c r="BO118" i="2"/>
  <c r="BN118" i="2"/>
  <c r="BM118" i="2"/>
  <c r="BL118" i="2"/>
  <c r="BK118" i="2"/>
  <c r="BJ118" i="2"/>
  <c r="BH118" i="2"/>
  <c r="AZ118" i="2"/>
  <c r="AJ118" i="2"/>
  <c r="AA118" i="2"/>
  <c r="G118" i="2" s="1"/>
  <c r="EE118" i="2" s="1"/>
  <c r="EB117" i="2"/>
  <c r="EA117" i="2"/>
  <c r="DZ117" i="2"/>
  <c r="DY117" i="2"/>
  <c r="DX117" i="2"/>
  <c r="DV117" i="2"/>
  <c r="DU117" i="2"/>
  <c r="DT117" i="2"/>
  <c r="DS117" i="2"/>
  <c r="DR117" i="2"/>
  <c r="DQ117" i="2"/>
  <c r="DP117" i="2"/>
  <c r="DO117" i="2"/>
  <c r="DN117" i="2"/>
  <c r="DM117" i="2"/>
  <c r="DL117" i="2"/>
  <c r="DK117" i="2"/>
  <c r="DJ117" i="2"/>
  <c r="DI117" i="2"/>
  <c r="DH117" i="2"/>
  <c r="DF117" i="2"/>
  <c r="CX117" i="2"/>
  <c r="CH117" i="2"/>
  <c r="CD117" i="2"/>
  <c r="CC117" i="2"/>
  <c r="CB117" i="2"/>
  <c r="CA117" i="2"/>
  <c r="BZ117" i="2"/>
  <c r="BX117" i="2"/>
  <c r="BW117" i="2"/>
  <c r="BV117" i="2"/>
  <c r="BU117" i="2"/>
  <c r="BT117" i="2"/>
  <c r="BS117" i="2"/>
  <c r="BR117" i="2"/>
  <c r="BQ117" i="2"/>
  <c r="BP117" i="2"/>
  <c r="BO117" i="2"/>
  <c r="BN117" i="2"/>
  <c r="BM117" i="2"/>
  <c r="BL117" i="2"/>
  <c r="BK117" i="2"/>
  <c r="BJ117" i="2"/>
  <c r="BH117" i="2"/>
  <c r="AZ117" i="2"/>
  <c r="AJ117" i="2"/>
  <c r="BI117" i="2" s="1"/>
  <c r="AA117" i="2"/>
  <c r="EA116" i="2"/>
  <c r="DZ116" i="2"/>
  <c r="DY116" i="2"/>
  <c r="DX116" i="2"/>
  <c r="DV116" i="2"/>
  <c r="DU116" i="2"/>
  <c r="DT116" i="2"/>
  <c r="DS116" i="2"/>
  <c r="DR116" i="2"/>
  <c r="DQ116" i="2"/>
  <c r="DP116" i="2"/>
  <c r="DO116" i="2"/>
  <c r="DN116" i="2"/>
  <c r="DM116" i="2"/>
  <c r="DL116" i="2"/>
  <c r="DK116" i="2"/>
  <c r="DJ116" i="2"/>
  <c r="DI116" i="2"/>
  <c r="DH116" i="2"/>
  <c r="DC116" i="2"/>
  <c r="CX116" i="2"/>
  <c r="DW116" i="2" s="1"/>
  <c r="CH116" i="2"/>
  <c r="CC116" i="2"/>
  <c r="CB116" i="2"/>
  <c r="CA116" i="2"/>
  <c r="BZ116" i="2"/>
  <c r="BX116" i="2"/>
  <c r="BW116" i="2"/>
  <c r="BV116" i="2"/>
  <c r="BU116" i="2"/>
  <c r="BT116" i="2"/>
  <c r="BS116" i="2"/>
  <c r="BR116" i="2"/>
  <c r="BQ116" i="2"/>
  <c r="BP116" i="2"/>
  <c r="BO116" i="2"/>
  <c r="BN116" i="2"/>
  <c r="BM116" i="2"/>
  <c r="BL116" i="2"/>
  <c r="BK116" i="2"/>
  <c r="BJ116" i="2"/>
  <c r="BE116" i="2"/>
  <c r="AZ116" i="2"/>
  <c r="BY116" i="2" s="1"/>
  <c r="AJ116" i="2"/>
  <c r="AF116" i="2"/>
  <c r="K116" i="2"/>
  <c r="J116" i="2"/>
  <c r="DF116" i="2" s="1"/>
  <c r="EA115" i="2"/>
  <c r="DZ115" i="2"/>
  <c r="DY115" i="2"/>
  <c r="DX115" i="2"/>
  <c r="DV115" i="2"/>
  <c r="DU115" i="2"/>
  <c r="DT115" i="2"/>
  <c r="DS115" i="2"/>
  <c r="DR115" i="2"/>
  <c r="DP115" i="2"/>
  <c r="DO115" i="2"/>
  <c r="DN115" i="2"/>
  <c r="DM115" i="2"/>
  <c r="DK115" i="2"/>
  <c r="DJ115" i="2"/>
  <c r="DI115" i="2"/>
  <c r="DH115" i="2"/>
  <c r="DG115" i="2"/>
  <c r="DF115" i="2"/>
  <c r="DC115" i="2"/>
  <c r="CX115" i="2"/>
  <c r="DW115" i="2" s="1"/>
  <c r="CR115" i="2"/>
  <c r="DQ115" i="2" s="1"/>
  <c r="CM115" i="2"/>
  <c r="CC115" i="2"/>
  <c r="CB115" i="2"/>
  <c r="CA115" i="2"/>
  <c r="BZ115" i="2"/>
  <c r="BX115" i="2"/>
  <c r="BW115" i="2"/>
  <c r="BV115" i="2"/>
  <c r="BU115" i="2"/>
  <c r="BT115" i="2"/>
  <c r="BR115" i="2"/>
  <c r="BQ115" i="2"/>
  <c r="BP115" i="2"/>
  <c r="BO115" i="2"/>
  <c r="BM115" i="2"/>
  <c r="BL115" i="2"/>
  <c r="BK115" i="2"/>
  <c r="BJ115" i="2"/>
  <c r="BI115" i="2"/>
  <c r="BH115" i="2"/>
  <c r="BE115" i="2"/>
  <c r="AZ115" i="2"/>
  <c r="BY115" i="2" s="1"/>
  <c r="AT115" i="2"/>
  <c r="BS115" i="2" s="1"/>
  <c r="AO115" i="2"/>
  <c r="BN115" i="2" s="1"/>
  <c r="AF115" i="2"/>
  <c r="EA114" i="2"/>
  <c r="DZ114" i="2"/>
  <c r="DY114" i="2"/>
  <c r="DX114" i="2"/>
  <c r="DW114" i="2"/>
  <c r="DV114" i="2"/>
  <c r="DU114" i="2"/>
  <c r="DT114" i="2"/>
  <c r="DS114" i="2"/>
  <c r="DR114" i="2"/>
  <c r="DQ114" i="2"/>
  <c r="DP114" i="2"/>
  <c r="DN114" i="2"/>
  <c r="DM114" i="2"/>
  <c r="DK114" i="2"/>
  <c r="DJ114" i="2"/>
  <c r="DI114" i="2"/>
  <c r="DH114" i="2"/>
  <c r="DG114" i="2"/>
  <c r="DF114" i="2"/>
  <c r="DC114" i="2"/>
  <c r="CM114" i="2"/>
  <c r="CC114" i="2"/>
  <c r="CB114" i="2"/>
  <c r="CA114" i="2"/>
  <c r="BZ114" i="2"/>
  <c r="BY114" i="2"/>
  <c r="BX114" i="2"/>
  <c r="BW114" i="2"/>
  <c r="BV114" i="2"/>
  <c r="BU114" i="2"/>
  <c r="BT114" i="2"/>
  <c r="BS114" i="2"/>
  <c r="BR114" i="2"/>
  <c r="BP114" i="2"/>
  <c r="BO114" i="2"/>
  <c r="BM114" i="2"/>
  <c r="BL114" i="2"/>
  <c r="BK114" i="2"/>
  <c r="BJ114" i="2"/>
  <c r="BI114" i="2"/>
  <c r="BH114" i="2"/>
  <c r="BE114" i="2"/>
  <c r="AO114" i="2"/>
  <c r="AF114" i="2"/>
  <c r="S114" i="2"/>
  <c r="DO114" i="2" s="1"/>
  <c r="EA113" i="2"/>
  <c r="DZ113" i="2"/>
  <c r="DY113" i="2"/>
  <c r="DX113" i="2"/>
  <c r="DW113" i="2"/>
  <c r="DV113" i="2"/>
  <c r="DU113" i="2"/>
  <c r="DT113" i="2"/>
  <c r="DS113" i="2"/>
  <c r="DR113" i="2"/>
  <c r="DQ113" i="2"/>
  <c r="DP113" i="2"/>
  <c r="DO113" i="2"/>
  <c r="DN113" i="2"/>
  <c r="DM113" i="2"/>
  <c r="DL113" i="2"/>
  <c r="DK113" i="2"/>
  <c r="DJ113" i="2"/>
  <c r="DI113" i="2"/>
  <c r="DH113" i="2"/>
  <c r="DG113" i="2"/>
  <c r="DF113" i="2"/>
  <c r="DC113" i="2"/>
  <c r="CF113" i="2" s="1"/>
  <c r="EF113" i="2" s="1"/>
  <c r="CC113" i="2"/>
  <c r="CB113" i="2"/>
  <c r="CA113" i="2"/>
  <c r="BZ113" i="2"/>
  <c r="BY113" i="2"/>
  <c r="BX113" i="2"/>
  <c r="BW113" i="2"/>
  <c r="BV113" i="2"/>
  <c r="BU113" i="2"/>
  <c r="BT113" i="2"/>
  <c r="BS113" i="2"/>
  <c r="BR113" i="2"/>
  <c r="BQ113" i="2"/>
  <c r="BP113" i="2"/>
  <c r="BO113" i="2"/>
  <c r="BN113" i="2"/>
  <c r="BM113" i="2"/>
  <c r="BL113" i="2"/>
  <c r="BK113" i="2"/>
  <c r="BJ113" i="2"/>
  <c r="BI113" i="2"/>
  <c r="BH113" i="2"/>
  <c r="BE113" i="2"/>
  <c r="AH113" i="2" s="1"/>
  <c r="AF113" i="2"/>
  <c r="G113" i="2" s="1"/>
  <c r="EE113" i="2" s="1"/>
  <c r="EA112" i="2"/>
  <c r="DZ112" i="2"/>
  <c r="DY112" i="2"/>
  <c r="DX112" i="2"/>
  <c r="DW112" i="2"/>
  <c r="DV112" i="2"/>
  <c r="DU112" i="2"/>
  <c r="DT112" i="2"/>
  <c r="DS112" i="2"/>
  <c r="DR112" i="2"/>
  <c r="DQ112" i="2"/>
  <c r="DP112" i="2"/>
  <c r="DO112" i="2"/>
  <c r="DN112" i="2"/>
  <c r="DM112" i="2"/>
  <c r="DL112" i="2"/>
  <c r="DK112" i="2"/>
  <c r="DJ112" i="2"/>
  <c r="DI112" i="2"/>
  <c r="DH112" i="2"/>
  <c r="DG112" i="2"/>
  <c r="DF112" i="2"/>
  <c r="DC112" i="2"/>
  <c r="CF112" i="2" s="1"/>
  <c r="EF112" i="2" s="1"/>
  <c r="CC112" i="2"/>
  <c r="CB112" i="2"/>
  <c r="CA112" i="2"/>
  <c r="BZ112" i="2"/>
  <c r="BY112" i="2"/>
  <c r="BX112" i="2"/>
  <c r="BW112" i="2"/>
  <c r="BV112" i="2"/>
  <c r="BU112" i="2"/>
  <c r="BT112" i="2"/>
  <c r="BS112" i="2"/>
  <c r="BR112" i="2"/>
  <c r="BQ112" i="2"/>
  <c r="BP112" i="2"/>
  <c r="BO112" i="2"/>
  <c r="BN112" i="2"/>
  <c r="BM112" i="2"/>
  <c r="BL112" i="2"/>
  <c r="BK112" i="2"/>
  <c r="BJ112" i="2"/>
  <c r="BI112" i="2"/>
  <c r="BH112" i="2"/>
  <c r="BE112" i="2"/>
  <c r="AF112" i="2"/>
  <c r="G112" i="2" s="1"/>
  <c r="EE112" i="2" s="1"/>
  <c r="EB111" i="2"/>
  <c r="EA111" i="2"/>
  <c r="DZ111" i="2"/>
  <c r="DY111" i="2"/>
  <c r="DX111" i="2"/>
  <c r="DW111" i="2"/>
  <c r="DV111" i="2"/>
  <c r="DU111" i="2"/>
  <c r="DT111" i="2"/>
  <c r="DS111" i="2"/>
  <c r="DR111" i="2"/>
  <c r="DQ111" i="2"/>
  <c r="DP111" i="2"/>
  <c r="DO111" i="2"/>
  <c r="DN111" i="2"/>
  <c r="DM111" i="2"/>
  <c r="DL111" i="2"/>
  <c r="DK111" i="2"/>
  <c r="DJ111" i="2"/>
  <c r="DI111" i="2"/>
  <c r="DH111" i="2"/>
  <c r="DG111" i="2"/>
  <c r="DF111" i="2"/>
  <c r="DD111" i="2"/>
  <c r="CF111" i="2"/>
  <c r="EF111" i="2" s="1"/>
  <c r="CD111" i="2"/>
  <c r="CC111" i="2"/>
  <c r="CB111" i="2"/>
  <c r="CA111" i="2"/>
  <c r="BZ111" i="2"/>
  <c r="BY111" i="2"/>
  <c r="BX111" i="2"/>
  <c r="BW111" i="2"/>
  <c r="BV111" i="2"/>
  <c r="BU111" i="2"/>
  <c r="BT111" i="2"/>
  <c r="BS111" i="2"/>
  <c r="BR111" i="2"/>
  <c r="BQ111" i="2"/>
  <c r="BP111" i="2"/>
  <c r="BO111" i="2"/>
  <c r="BN111" i="2"/>
  <c r="BM111" i="2"/>
  <c r="BL111" i="2"/>
  <c r="BK111" i="2"/>
  <c r="BJ111" i="2"/>
  <c r="BI111" i="2"/>
  <c r="BH111" i="2"/>
  <c r="AH111" i="2"/>
  <c r="G111" i="2"/>
  <c r="EA110" i="2"/>
  <c r="DZ110" i="2"/>
  <c r="DY110" i="2"/>
  <c r="DX110" i="2"/>
  <c r="DW110" i="2"/>
  <c r="DV110" i="2"/>
  <c r="DU110" i="2"/>
  <c r="DT110" i="2"/>
  <c r="DS110" i="2"/>
  <c r="DR110" i="2"/>
  <c r="DQ110" i="2"/>
  <c r="DP110" i="2"/>
  <c r="DO110" i="2"/>
  <c r="DN110" i="2"/>
  <c r="DM110" i="2"/>
  <c r="DL110" i="2"/>
  <c r="DK110" i="2"/>
  <c r="DJ110" i="2"/>
  <c r="DI110" i="2"/>
  <c r="DH110" i="2"/>
  <c r="DF110" i="2"/>
  <c r="DC110" i="2"/>
  <c r="CF110" i="2" s="1"/>
  <c r="EF110" i="2" s="1"/>
  <c r="CC110" i="2"/>
  <c r="CB110" i="2"/>
  <c r="CA110" i="2"/>
  <c r="BZ110" i="2"/>
  <c r="BY110" i="2"/>
  <c r="BX110" i="2"/>
  <c r="BW110" i="2"/>
  <c r="BV110" i="2"/>
  <c r="BU110" i="2"/>
  <c r="BT110" i="2"/>
  <c r="BS110" i="2"/>
  <c r="BR110" i="2"/>
  <c r="BQ110" i="2"/>
  <c r="BP110" i="2"/>
  <c r="BO110" i="2"/>
  <c r="BN110" i="2"/>
  <c r="BM110" i="2"/>
  <c r="BL110" i="2"/>
  <c r="BK110" i="2"/>
  <c r="BJ110" i="2"/>
  <c r="BH110" i="2"/>
  <c r="BE110" i="2"/>
  <c r="AF110" i="2"/>
  <c r="K110" i="2"/>
  <c r="EB109" i="2"/>
  <c r="EA109" i="2"/>
  <c r="DZ109" i="2"/>
  <c r="DY109" i="2"/>
  <c r="DX109" i="2"/>
  <c r="DW109" i="2"/>
  <c r="DV109" i="2"/>
  <c r="DU109" i="2"/>
  <c r="DT109" i="2"/>
  <c r="DS109" i="2"/>
  <c r="DR109" i="2"/>
  <c r="DQ109" i="2"/>
  <c r="DP109" i="2"/>
  <c r="DO109" i="2"/>
  <c r="DN109" i="2"/>
  <c r="DL109" i="2"/>
  <c r="DK109" i="2"/>
  <c r="DJ109" i="2"/>
  <c r="DH109" i="2"/>
  <c r="DG109" i="2"/>
  <c r="DF109" i="2"/>
  <c r="CJ109" i="2"/>
  <c r="CF109" i="2" s="1"/>
  <c r="EF109" i="2" s="1"/>
  <c r="CD109" i="2"/>
  <c r="CC109" i="2"/>
  <c r="CB109" i="2"/>
  <c r="CA109" i="2"/>
  <c r="BZ109" i="2"/>
  <c r="BY109" i="2"/>
  <c r="BX109" i="2"/>
  <c r="BW109" i="2"/>
  <c r="BV109" i="2"/>
  <c r="BU109" i="2"/>
  <c r="BT109" i="2"/>
  <c r="BS109" i="2"/>
  <c r="BR109" i="2"/>
  <c r="BQ109" i="2"/>
  <c r="BP109" i="2"/>
  <c r="BN109" i="2"/>
  <c r="BM109" i="2"/>
  <c r="BL109" i="2"/>
  <c r="BJ109" i="2"/>
  <c r="BI109" i="2"/>
  <c r="BH109" i="2"/>
  <c r="AL109" i="2"/>
  <c r="BK109" i="2" s="1"/>
  <c r="Q109" i="2"/>
  <c r="DM109" i="2" s="1"/>
  <c r="M109" i="2"/>
  <c r="EA108" i="2"/>
  <c r="DZ108" i="2"/>
  <c r="DY108" i="2"/>
  <c r="DX108" i="2"/>
  <c r="DW108" i="2"/>
  <c r="DV108" i="2"/>
  <c r="DU108" i="2"/>
  <c r="DT108" i="2"/>
  <c r="DS108" i="2"/>
  <c r="DR108" i="2"/>
  <c r="DQ108" i="2"/>
  <c r="DP108" i="2"/>
  <c r="DO108" i="2"/>
  <c r="DN108" i="2"/>
  <c r="DM108" i="2"/>
  <c r="DL108" i="2"/>
  <c r="DK108" i="2"/>
  <c r="DJ108" i="2"/>
  <c r="DH108" i="2"/>
  <c r="DF108" i="2"/>
  <c r="DC108" i="2"/>
  <c r="CJ108" i="2"/>
  <c r="CC108" i="2"/>
  <c r="CB108" i="2"/>
  <c r="CA108" i="2"/>
  <c r="BZ108" i="2"/>
  <c r="BY108" i="2"/>
  <c r="BX108" i="2"/>
  <c r="BW108" i="2"/>
  <c r="BV108" i="2"/>
  <c r="BU108" i="2"/>
  <c r="BT108" i="2"/>
  <c r="BS108" i="2"/>
  <c r="BR108" i="2"/>
  <c r="BQ108" i="2"/>
  <c r="BP108" i="2"/>
  <c r="BO108" i="2"/>
  <c r="BN108" i="2"/>
  <c r="BM108" i="2"/>
  <c r="BL108" i="2"/>
  <c r="BJ108" i="2"/>
  <c r="BH108" i="2"/>
  <c r="BE108" i="2"/>
  <c r="AL108" i="2"/>
  <c r="AF108" i="2"/>
  <c r="M108" i="2"/>
  <c r="K108" i="2"/>
  <c r="DG108" i="2" s="1"/>
  <c r="EA107" i="2"/>
  <c r="DZ107" i="2"/>
  <c r="DY107" i="2"/>
  <c r="DX107" i="2"/>
  <c r="DW107" i="2"/>
  <c r="DV107" i="2"/>
  <c r="DU107" i="2"/>
  <c r="DT107" i="2"/>
  <c r="DS107" i="2"/>
  <c r="DR107" i="2"/>
  <c r="DP107" i="2"/>
  <c r="DO107" i="2"/>
  <c r="DN107" i="2"/>
  <c r="DL107" i="2"/>
  <c r="DK107" i="2"/>
  <c r="DJ107" i="2"/>
  <c r="DH107" i="2"/>
  <c r="DG107" i="2"/>
  <c r="DF107" i="2"/>
  <c r="DC107" i="2"/>
  <c r="CR107" i="2"/>
  <c r="CN107" i="2"/>
  <c r="CJ107" i="2"/>
  <c r="DI107" i="2" s="1"/>
  <c r="CC107" i="2"/>
  <c r="CB107" i="2"/>
  <c r="CA107" i="2"/>
  <c r="BZ107" i="2"/>
  <c r="BY107" i="2"/>
  <c r="BX107" i="2"/>
  <c r="BW107" i="2"/>
  <c r="BV107" i="2"/>
  <c r="BU107" i="2"/>
  <c r="BT107" i="2"/>
  <c r="BR107" i="2"/>
  <c r="BQ107" i="2"/>
  <c r="BP107" i="2"/>
  <c r="BN107" i="2"/>
  <c r="BM107" i="2"/>
  <c r="BL107" i="2"/>
  <c r="BJ107" i="2"/>
  <c r="BI107" i="2"/>
  <c r="BH107" i="2"/>
  <c r="BE107" i="2"/>
  <c r="AT107" i="2"/>
  <c r="AP107" i="2"/>
  <c r="AL107" i="2"/>
  <c r="AF107" i="2"/>
  <c r="U107" i="2"/>
  <c r="Q107" i="2"/>
  <c r="M107" i="2"/>
  <c r="EA106" i="2"/>
  <c r="DZ106" i="2"/>
  <c r="DX106" i="2"/>
  <c r="DW106" i="2"/>
  <c r="DV106" i="2"/>
  <c r="DU106" i="2"/>
  <c r="DT106" i="2"/>
  <c r="DS106" i="2"/>
  <c r="DR106" i="2"/>
  <c r="DP106" i="2"/>
  <c r="DO106" i="2"/>
  <c r="DN106" i="2"/>
  <c r="DM106" i="2"/>
  <c r="DL106" i="2"/>
  <c r="DK106" i="2"/>
  <c r="DJ106" i="2"/>
  <c r="DH106" i="2"/>
  <c r="DG106" i="2"/>
  <c r="DF106" i="2"/>
  <c r="CZ106" i="2"/>
  <c r="CZ130" i="2" s="1"/>
  <c r="CJ106" i="2"/>
  <c r="CC106" i="2"/>
  <c r="CB106" i="2"/>
  <c r="BZ106" i="2"/>
  <c r="BY106" i="2"/>
  <c r="BX106" i="2"/>
  <c r="BW106" i="2"/>
  <c r="BV106" i="2"/>
  <c r="BU106" i="2"/>
  <c r="BT106" i="2"/>
  <c r="BR106" i="2"/>
  <c r="BQ106" i="2"/>
  <c r="BP106" i="2"/>
  <c r="BO106" i="2"/>
  <c r="BN106" i="2"/>
  <c r="BM106" i="2"/>
  <c r="BL106" i="2"/>
  <c r="BJ106" i="2"/>
  <c r="BI106" i="2"/>
  <c r="BH106" i="2"/>
  <c r="BB106" i="2"/>
  <c r="AL106" i="2"/>
  <c r="AF106" i="2"/>
  <c r="AC106" i="2"/>
  <c r="U106" i="2"/>
  <c r="BS106" i="2" s="1"/>
  <c r="EA105" i="2"/>
  <c r="DZ105" i="2"/>
  <c r="DY105" i="2"/>
  <c r="DX105" i="2"/>
  <c r="DW105" i="2"/>
  <c r="DV105" i="2"/>
  <c r="DU105" i="2"/>
  <c r="DT105" i="2"/>
  <c r="DS105" i="2"/>
  <c r="DR105" i="2"/>
  <c r="DQ105" i="2"/>
  <c r="DP105" i="2"/>
  <c r="DO105" i="2"/>
  <c r="DN105" i="2"/>
  <c r="DM105" i="2"/>
  <c r="DL105" i="2"/>
  <c r="DK105" i="2"/>
  <c r="DJ105" i="2"/>
  <c r="DH105" i="2"/>
  <c r="DF105" i="2"/>
  <c r="DC105" i="2"/>
  <c r="CJ105" i="2"/>
  <c r="CC105" i="2"/>
  <c r="CB105" i="2"/>
  <c r="CA105" i="2"/>
  <c r="BZ105" i="2"/>
  <c r="BY105" i="2"/>
  <c r="BX105" i="2"/>
  <c r="BW105" i="2"/>
  <c r="BV105" i="2"/>
  <c r="BU105" i="2"/>
  <c r="BT105" i="2"/>
  <c r="BS105" i="2"/>
  <c r="BR105" i="2"/>
  <c r="BQ105" i="2"/>
  <c r="BP105" i="2"/>
  <c r="BO105" i="2"/>
  <c r="BN105" i="2"/>
  <c r="BM105" i="2"/>
  <c r="BL105" i="2"/>
  <c r="BJ105" i="2"/>
  <c r="BH105" i="2"/>
  <c r="BE105" i="2"/>
  <c r="AL105" i="2"/>
  <c r="AF105" i="2"/>
  <c r="M105" i="2"/>
  <c r="K105" i="2"/>
  <c r="DG105" i="2" s="1"/>
  <c r="DZ104" i="2"/>
  <c r="DY104" i="2"/>
  <c r="DX104" i="2"/>
  <c r="DW104" i="2"/>
  <c r="DV104" i="2"/>
  <c r="DU104" i="2"/>
  <c r="DT104" i="2"/>
  <c r="DS104" i="2"/>
  <c r="DR104" i="2"/>
  <c r="DQ104" i="2"/>
  <c r="DP104" i="2"/>
  <c r="DN104" i="2"/>
  <c r="DL104" i="2"/>
  <c r="DK104" i="2"/>
  <c r="DJ104" i="2"/>
  <c r="DH104" i="2"/>
  <c r="DF104" i="2"/>
  <c r="DC104" i="2"/>
  <c r="DB104" i="2"/>
  <c r="DB135" i="2" s="1"/>
  <c r="CJ104" i="2"/>
  <c r="CB104" i="2"/>
  <c r="CA104" i="2"/>
  <c r="BZ104" i="2"/>
  <c r="BY104" i="2"/>
  <c r="BX104" i="2"/>
  <c r="BW104" i="2"/>
  <c r="BV104" i="2"/>
  <c r="BU104" i="2"/>
  <c r="BT104" i="2"/>
  <c r="BS104" i="2"/>
  <c r="BR104" i="2"/>
  <c r="BP104" i="2"/>
  <c r="BN104" i="2"/>
  <c r="BM104" i="2"/>
  <c r="BL104" i="2"/>
  <c r="BJ104" i="2"/>
  <c r="BH104" i="2"/>
  <c r="BE104" i="2"/>
  <c r="BD104" i="2"/>
  <c r="AL104" i="2"/>
  <c r="AF104" i="2"/>
  <c r="AE104" i="2"/>
  <c r="AE135" i="2" s="1"/>
  <c r="S104" i="2"/>
  <c r="BQ104" i="2" s="1"/>
  <c r="Q104" i="2"/>
  <c r="DM104" i="2" s="1"/>
  <c r="M104" i="2"/>
  <c r="K104" i="2"/>
  <c r="BI104" i="2" s="1"/>
  <c r="EB103" i="2"/>
  <c r="EA103" i="2"/>
  <c r="DZ103" i="2"/>
  <c r="DY103" i="2"/>
  <c r="DX103" i="2"/>
  <c r="DW103" i="2"/>
  <c r="DV103" i="2"/>
  <c r="DU103" i="2"/>
  <c r="DT103" i="2"/>
  <c r="DS103" i="2"/>
  <c r="DR103" i="2"/>
  <c r="DQ103" i="2"/>
  <c r="DP103" i="2"/>
  <c r="DO103" i="2"/>
  <c r="DN103" i="2"/>
  <c r="DM103" i="2"/>
  <c r="DL103" i="2"/>
  <c r="DK103" i="2"/>
  <c r="DJ103" i="2"/>
  <c r="DH103" i="2"/>
  <c r="DG103" i="2"/>
  <c r="DF103" i="2"/>
  <c r="CJ103" i="2"/>
  <c r="CF103" i="2" s="1"/>
  <c r="EF103" i="2" s="1"/>
  <c r="CD103" i="2"/>
  <c r="CC103" i="2"/>
  <c r="CB103" i="2"/>
  <c r="CA103" i="2"/>
  <c r="BZ103" i="2"/>
  <c r="BY103" i="2"/>
  <c r="BX103" i="2"/>
  <c r="BW103" i="2"/>
  <c r="BV103" i="2"/>
  <c r="BU103" i="2"/>
  <c r="BT103" i="2"/>
  <c r="BS103" i="2"/>
  <c r="BR103" i="2"/>
  <c r="BQ103" i="2"/>
  <c r="BP103" i="2"/>
  <c r="BO103" i="2"/>
  <c r="BN103" i="2"/>
  <c r="BM103" i="2"/>
  <c r="BL103" i="2"/>
  <c r="BJ103" i="2"/>
  <c r="BI103" i="2"/>
  <c r="BH103" i="2"/>
  <c r="AL103" i="2"/>
  <c r="AH103" i="2" s="1"/>
  <c r="M103" i="2"/>
  <c r="G103" i="2" s="1"/>
  <c r="EE103" i="2" s="1"/>
  <c r="DZ102" i="2"/>
  <c r="DY102" i="2"/>
  <c r="DX102" i="2"/>
  <c r="DV102" i="2"/>
  <c r="DU102" i="2"/>
  <c r="DT102" i="2"/>
  <c r="DS102" i="2"/>
  <c r="DQ102" i="2"/>
  <c r="DP102" i="2"/>
  <c r="DM102" i="2"/>
  <c r="DL102" i="2"/>
  <c r="DK102" i="2"/>
  <c r="DJ102" i="2"/>
  <c r="DH102" i="2"/>
  <c r="DF102" i="2"/>
  <c r="DC102" i="2"/>
  <c r="CX102" i="2"/>
  <c r="DW102" i="2" s="1"/>
  <c r="CJ102" i="2"/>
  <c r="CB102" i="2"/>
  <c r="CA102" i="2"/>
  <c r="BZ102" i="2"/>
  <c r="BX102" i="2"/>
  <c r="BW102" i="2"/>
  <c r="BV102" i="2"/>
  <c r="BU102" i="2"/>
  <c r="BS102" i="2"/>
  <c r="BR102" i="2"/>
  <c r="BO102" i="2"/>
  <c r="BN102" i="2"/>
  <c r="BM102" i="2"/>
  <c r="BL102" i="2"/>
  <c r="BJ102" i="2"/>
  <c r="BH102" i="2"/>
  <c r="BE102" i="2"/>
  <c r="AZ102" i="2"/>
  <c r="AZ134" i="2" s="1"/>
  <c r="AL102" i="2"/>
  <c r="AJ102" i="2"/>
  <c r="AF102" i="2"/>
  <c r="AE102" i="2"/>
  <c r="AE134" i="2" s="1"/>
  <c r="V102" i="2"/>
  <c r="V130" i="2" s="1"/>
  <c r="S102" i="2"/>
  <c r="S134" i="2" s="1"/>
  <c r="R102" i="2"/>
  <c r="DN102" i="2" s="1"/>
  <c r="M102" i="2"/>
  <c r="K102" i="2"/>
  <c r="DG102" i="2" s="1"/>
  <c r="EA101" i="2"/>
  <c r="DZ101" i="2"/>
  <c r="DY101" i="2"/>
  <c r="DX101" i="2"/>
  <c r="DW101" i="2"/>
  <c r="DV101" i="2"/>
  <c r="DU101" i="2"/>
  <c r="DT101" i="2"/>
  <c r="DS101" i="2"/>
  <c r="DR101" i="2"/>
  <c r="DQ101" i="2"/>
  <c r="DP101" i="2"/>
  <c r="DO101" i="2"/>
  <c r="DN101" i="2"/>
  <c r="DM101" i="2"/>
  <c r="DL101" i="2"/>
  <c r="DK101" i="2"/>
  <c r="DJ101" i="2"/>
  <c r="DI101" i="2"/>
  <c r="DH101" i="2"/>
  <c r="DG101" i="2"/>
  <c r="DF101" i="2"/>
  <c r="DC101" i="2"/>
  <c r="CC101" i="2"/>
  <c r="CB101" i="2"/>
  <c r="CA101" i="2"/>
  <c r="BZ101" i="2"/>
  <c r="BY101" i="2"/>
  <c r="BX101" i="2"/>
  <c r="BW101" i="2"/>
  <c r="BV101" i="2"/>
  <c r="BU101" i="2"/>
  <c r="BT101" i="2"/>
  <c r="BS101" i="2"/>
  <c r="BR101" i="2"/>
  <c r="BQ101" i="2"/>
  <c r="BP101" i="2"/>
  <c r="BO101" i="2"/>
  <c r="BN101" i="2"/>
  <c r="BM101" i="2"/>
  <c r="BL101" i="2"/>
  <c r="BK101" i="2"/>
  <c r="BJ101" i="2"/>
  <c r="BI101" i="2"/>
  <c r="BH101" i="2"/>
  <c r="BE101" i="2"/>
  <c r="AH101" i="2" s="1"/>
  <c r="AF101" i="2"/>
  <c r="EB100" i="2"/>
  <c r="EA100" i="2"/>
  <c r="DZ100" i="2"/>
  <c r="DY100" i="2"/>
  <c r="DX100" i="2"/>
  <c r="DW100" i="2"/>
  <c r="DV100" i="2"/>
  <c r="DU100" i="2"/>
  <c r="DT100" i="2"/>
  <c r="DS100" i="2"/>
  <c r="DR100" i="2"/>
  <c r="DQ100" i="2"/>
  <c r="DP100" i="2"/>
  <c r="DO100" i="2"/>
  <c r="DN100" i="2"/>
  <c r="DM100" i="2"/>
  <c r="DL100" i="2"/>
  <c r="DK100" i="2"/>
  <c r="DJ100" i="2"/>
  <c r="DI100" i="2"/>
  <c r="DH100" i="2"/>
  <c r="DG100" i="2"/>
  <c r="DF100" i="2"/>
  <c r="CF100" i="2"/>
  <c r="CD100" i="2"/>
  <c r="CC100" i="2"/>
  <c r="CB100" i="2"/>
  <c r="CA100" i="2"/>
  <c r="BZ100" i="2"/>
  <c r="BY100" i="2"/>
  <c r="BX100" i="2"/>
  <c r="BW100" i="2"/>
  <c r="BV100" i="2"/>
  <c r="BU100" i="2"/>
  <c r="BT100" i="2"/>
  <c r="BS100" i="2"/>
  <c r="BR100" i="2"/>
  <c r="BQ100" i="2"/>
  <c r="BP100" i="2"/>
  <c r="BO100" i="2"/>
  <c r="BN100" i="2"/>
  <c r="BM100" i="2"/>
  <c r="BL100" i="2"/>
  <c r="BK100" i="2"/>
  <c r="BJ100" i="2"/>
  <c r="BI100" i="2"/>
  <c r="BH100" i="2"/>
  <c r="AH100" i="2"/>
  <c r="G100" i="2"/>
  <c r="EA99" i="2"/>
  <c r="DZ99" i="2"/>
  <c r="DY99" i="2"/>
  <c r="DX99" i="2"/>
  <c r="DW99" i="2"/>
  <c r="DV99" i="2"/>
  <c r="DU99" i="2"/>
  <c r="DT99" i="2"/>
  <c r="DR99" i="2"/>
  <c r="DQ99" i="2"/>
  <c r="DP99" i="2"/>
  <c r="DO99" i="2"/>
  <c r="DN99" i="2"/>
  <c r="DM99" i="2"/>
  <c r="DL99" i="2"/>
  <c r="DK99" i="2"/>
  <c r="DH99" i="2"/>
  <c r="DG99" i="2"/>
  <c r="CT99" i="2"/>
  <c r="CK99" i="2"/>
  <c r="CK134" i="2" s="1"/>
  <c r="CG99" i="2"/>
  <c r="CC99" i="2"/>
  <c r="CB99" i="2"/>
  <c r="CA99" i="2"/>
  <c r="BZ99" i="2"/>
  <c r="BY99" i="2"/>
  <c r="BX99" i="2"/>
  <c r="BW99" i="2"/>
  <c r="BV99" i="2"/>
  <c r="BT99" i="2"/>
  <c r="BS99" i="2"/>
  <c r="BR99" i="2"/>
  <c r="BQ99" i="2"/>
  <c r="BP99" i="2"/>
  <c r="BO99" i="2"/>
  <c r="BN99" i="2"/>
  <c r="BM99" i="2"/>
  <c r="BJ99" i="2"/>
  <c r="BI99" i="2"/>
  <c r="AV99" i="2"/>
  <c r="AM99" i="2"/>
  <c r="BL99" i="2" s="1"/>
  <c r="AI99" i="2"/>
  <c r="BH99" i="2" s="1"/>
  <c r="AF99" i="2"/>
  <c r="M99" i="2"/>
  <c r="BK99" i="2" s="1"/>
  <c r="DB98" i="2"/>
  <c r="DA98" i="2"/>
  <c r="CY98" i="2"/>
  <c r="CV98" i="2"/>
  <c r="CU98" i="2"/>
  <c r="CT98" i="2"/>
  <c r="CS98" i="2"/>
  <c r="CR98" i="2"/>
  <c r="CQ98" i="2"/>
  <c r="CP98" i="2"/>
  <c r="CO98" i="2"/>
  <c r="CN98" i="2"/>
  <c r="CM98" i="2"/>
  <c r="CL98" i="2"/>
  <c r="CK98" i="2"/>
  <c r="BD98" i="2"/>
  <c r="BC98" i="2"/>
  <c r="BA98" i="2"/>
  <c r="AX98" i="2"/>
  <c r="AW98" i="2"/>
  <c r="AV98" i="2"/>
  <c r="AU98" i="2"/>
  <c r="AT98" i="2"/>
  <c r="AS98" i="2"/>
  <c r="AR98" i="2"/>
  <c r="AQ98" i="2"/>
  <c r="AP98" i="2"/>
  <c r="AO98" i="2"/>
  <c r="AN98" i="2"/>
  <c r="AM98" i="2"/>
  <c r="AE98" i="2"/>
  <c r="AD98" i="2"/>
  <c r="AB98" i="2"/>
  <c r="Z98" i="2"/>
  <c r="Y98" i="2"/>
  <c r="X98" i="2"/>
  <c r="W98" i="2"/>
  <c r="V98" i="2"/>
  <c r="U98" i="2"/>
  <c r="T98" i="2"/>
  <c r="S98" i="2"/>
  <c r="R98" i="2"/>
  <c r="Q98" i="2"/>
  <c r="P98" i="2"/>
  <c r="O98" i="2"/>
  <c r="N98" i="2"/>
  <c r="L98" i="2"/>
  <c r="K98" i="2"/>
  <c r="H98" i="2"/>
  <c r="EB97" i="2"/>
  <c r="EA97" i="2"/>
  <c r="DZ97" i="2"/>
  <c r="DY97" i="2"/>
  <c r="DX97" i="2"/>
  <c r="DU97" i="2"/>
  <c r="DT97" i="2"/>
  <c r="DS97" i="2"/>
  <c r="DR97" i="2"/>
  <c r="DQ97" i="2"/>
  <c r="DP97" i="2"/>
  <c r="DO97" i="2"/>
  <c r="DN97" i="2"/>
  <c r="DM97" i="2"/>
  <c r="DL97" i="2"/>
  <c r="DK97" i="2"/>
  <c r="DJ97" i="2"/>
  <c r="DI97" i="2"/>
  <c r="DH97" i="2"/>
  <c r="DG97" i="2"/>
  <c r="CX97" i="2"/>
  <c r="DW97" i="2" s="1"/>
  <c r="CW97" i="2"/>
  <c r="DV97" i="2" s="1"/>
  <c r="CG97" i="2"/>
  <c r="CD97" i="2"/>
  <c r="CC97" i="2"/>
  <c r="CB97" i="2"/>
  <c r="CA97" i="2"/>
  <c r="BZ97" i="2"/>
  <c r="BW97" i="2"/>
  <c r="BV97" i="2"/>
  <c r="BU97" i="2"/>
  <c r="BT97" i="2"/>
  <c r="BS97" i="2"/>
  <c r="BR97" i="2"/>
  <c r="BQ97" i="2"/>
  <c r="BP97" i="2"/>
  <c r="BO97" i="2"/>
  <c r="BN97" i="2"/>
  <c r="BM97" i="2"/>
  <c r="BL97" i="2"/>
  <c r="BK97" i="2"/>
  <c r="BJ97" i="2"/>
  <c r="BI97" i="2"/>
  <c r="AZ97" i="2"/>
  <c r="BY97" i="2" s="1"/>
  <c r="AY97" i="2"/>
  <c r="BX97" i="2" s="1"/>
  <c r="AI97" i="2"/>
  <c r="J97" i="2"/>
  <c r="EA96" i="2"/>
  <c r="DZ96" i="2"/>
  <c r="DY96" i="2"/>
  <c r="DX96" i="2"/>
  <c r="DW96" i="2"/>
  <c r="DU96" i="2"/>
  <c r="DT96" i="2"/>
  <c r="DS96" i="2"/>
  <c r="DR96" i="2"/>
  <c r="DQ96" i="2"/>
  <c r="DP96" i="2"/>
  <c r="DO96" i="2"/>
  <c r="DN96" i="2"/>
  <c r="DM96" i="2"/>
  <c r="DL96" i="2"/>
  <c r="DK96" i="2"/>
  <c r="DJ96" i="2"/>
  <c r="DH96" i="2"/>
  <c r="DC96" i="2"/>
  <c r="CW96" i="2"/>
  <c r="DV96" i="2" s="1"/>
  <c r="CJ96" i="2"/>
  <c r="CJ136" i="2" s="1"/>
  <c r="CH96" i="2"/>
  <c r="CG96" i="2"/>
  <c r="CC96" i="2"/>
  <c r="CB96" i="2"/>
  <c r="CA96" i="2"/>
  <c r="BZ96" i="2"/>
  <c r="BY96" i="2"/>
  <c r="BW96" i="2"/>
  <c r="BV96" i="2"/>
  <c r="BU96" i="2"/>
  <c r="BT96" i="2"/>
  <c r="BS96" i="2"/>
  <c r="BR96" i="2"/>
  <c r="BQ96" i="2"/>
  <c r="BP96" i="2"/>
  <c r="BO96" i="2"/>
  <c r="BN96" i="2"/>
  <c r="BM96" i="2"/>
  <c r="BL96" i="2"/>
  <c r="BJ96" i="2"/>
  <c r="BE96" i="2"/>
  <c r="AY96" i="2"/>
  <c r="BX96" i="2" s="1"/>
  <c r="AL96" i="2"/>
  <c r="AJ96" i="2"/>
  <c r="AI96" i="2"/>
  <c r="AF96" i="2"/>
  <c r="M96" i="2"/>
  <c r="M136" i="2" s="1"/>
  <c r="J96" i="2"/>
  <c r="EB95" i="2"/>
  <c r="EA95" i="2"/>
  <c r="DZ95" i="2"/>
  <c r="DX95" i="2"/>
  <c r="DW95" i="2"/>
  <c r="DV95" i="2"/>
  <c r="DU95" i="2"/>
  <c r="DT95" i="2"/>
  <c r="DS95" i="2"/>
  <c r="DR95" i="2"/>
  <c r="DQ95" i="2"/>
  <c r="DP95" i="2"/>
  <c r="DO95" i="2"/>
  <c r="DN95" i="2"/>
  <c r="DM95" i="2"/>
  <c r="DL95" i="2"/>
  <c r="DK95" i="2"/>
  <c r="DJ95" i="2"/>
  <c r="DI95" i="2"/>
  <c r="DH95" i="2"/>
  <c r="DG95" i="2"/>
  <c r="CF95" i="2"/>
  <c r="EF95" i="2" s="1"/>
  <c r="CD95" i="2"/>
  <c r="CC95" i="2"/>
  <c r="CB95" i="2"/>
  <c r="BZ95" i="2"/>
  <c r="BY95" i="2"/>
  <c r="BX95" i="2"/>
  <c r="BW95" i="2"/>
  <c r="BV95" i="2"/>
  <c r="BU95" i="2"/>
  <c r="BT95" i="2"/>
  <c r="BS95" i="2"/>
  <c r="BR95" i="2"/>
  <c r="BQ95" i="2"/>
  <c r="BP95" i="2"/>
  <c r="BO95" i="2"/>
  <c r="BN95" i="2"/>
  <c r="BM95" i="2"/>
  <c r="BL95" i="2"/>
  <c r="BK95" i="2"/>
  <c r="BJ95" i="2"/>
  <c r="BI95" i="2"/>
  <c r="AH95" i="2"/>
  <c r="AC95" i="2"/>
  <c r="AC136" i="2" s="1"/>
  <c r="J95" i="2"/>
  <c r="BH95" i="2" s="1"/>
  <c r="EB94" i="2"/>
  <c r="EA94" i="2"/>
  <c r="DZ94" i="2"/>
  <c r="DY94" i="2"/>
  <c r="DX94" i="2"/>
  <c r="DU94" i="2"/>
  <c r="DT94" i="2"/>
  <c r="DS94" i="2"/>
  <c r="DR94" i="2"/>
  <c r="DQ94" i="2"/>
  <c r="DP94" i="2"/>
  <c r="DO94" i="2"/>
  <c r="DN94" i="2"/>
  <c r="DM94" i="2"/>
  <c r="DL94" i="2"/>
  <c r="DK94" i="2"/>
  <c r="DJ94" i="2"/>
  <c r="DI94" i="2"/>
  <c r="DH94" i="2"/>
  <c r="DG94" i="2"/>
  <c r="CX94" i="2"/>
  <c r="CW94" i="2"/>
  <c r="DV94" i="2" s="1"/>
  <c r="CG94" i="2"/>
  <c r="CD94" i="2"/>
  <c r="CC94" i="2"/>
  <c r="CB94" i="2"/>
  <c r="CA94" i="2"/>
  <c r="BZ94" i="2"/>
  <c r="BW94" i="2"/>
  <c r="BV94" i="2"/>
  <c r="BU94" i="2"/>
  <c r="BT94" i="2"/>
  <c r="BS94" i="2"/>
  <c r="BR94" i="2"/>
  <c r="BQ94" i="2"/>
  <c r="BP94" i="2"/>
  <c r="BO94" i="2"/>
  <c r="BN94" i="2"/>
  <c r="BM94" i="2"/>
  <c r="BL94" i="2"/>
  <c r="BK94" i="2"/>
  <c r="BJ94" i="2"/>
  <c r="BI94" i="2"/>
  <c r="AZ94" i="2"/>
  <c r="AY94" i="2"/>
  <c r="BX94" i="2" s="1"/>
  <c r="AI94" i="2"/>
  <c r="AA94" i="2"/>
  <c r="J94" i="2"/>
  <c r="EB93" i="2"/>
  <c r="EA93" i="2"/>
  <c r="DZ93" i="2"/>
  <c r="DY93" i="2"/>
  <c r="DX93" i="2"/>
  <c r="DU93" i="2"/>
  <c r="DT93" i="2"/>
  <c r="DS93" i="2"/>
  <c r="DR93" i="2"/>
  <c r="DQ93" i="2"/>
  <c r="DP93" i="2"/>
  <c r="DO93" i="2"/>
  <c r="DN93" i="2"/>
  <c r="DM93" i="2"/>
  <c r="DL93" i="2"/>
  <c r="DK93" i="2"/>
  <c r="DJ93" i="2"/>
  <c r="DI93" i="2"/>
  <c r="DH93" i="2"/>
  <c r="DG93" i="2"/>
  <c r="DF93" i="2"/>
  <c r="CW93" i="2"/>
  <c r="CD93" i="2"/>
  <c r="CC93" i="2"/>
  <c r="CB93" i="2"/>
  <c r="CA93" i="2"/>
  <c r="BZ93" i="2"/>
  <c r="BW93" i="2"/>
  <c r="BV93" i="2"/>
  <c r="BU93" i="2"/>
  <c r="BT93" i="2"/>
  <c r="BS93" i="2"/>
  <c r="BR93" i="2"/>
  <c r="BQ93" i="2"/>
  <c r="BP93" i="2"/>
  <c r="BO93" i="2"/>
  <c r="BN93" i="2"/>
  <c r="BM93" i="2"/>
  <c r="BL93" i="2"/>
  <c r="BK93" i="2"/>
  <c r="BJ93" i="2"/>
  <c r="BI93" i="2"/>
  <c r="BH93" i="2"/>
  <c r="AY93" i="2"/>
  <c r="AH93" i="2" s="1"/>
  <c r="AA93" i="2"/>
  <c r="BY93" i="2" s="1"/>
  <c r="EB92" i="2"/>
  <c r="EA92" i="2"/>
  <c r="DZ92" i="2"/>
  <c r="DY92" i="2"/>
  <c r="DX92" i="2"/>
  <c r="DU92" i="2"/>
  <c r="DT92" i="2"/>
  <c r="DS92" i="2"/>
  <c r="DR92" i="2"/>
  <c r="DQ92" i="2"/>
  <c r="DP92" i="2"/>
  <c r="DO92" i="2"/>
  <c r="DN92" i="2"/>
  <c r="DM92" i="2"/>
  <c r="DL92" i="2"/>
  <c r="DK92" i="2"/>
  <c r="DJ92" i="2"/>
  <c r="DI92" i="2"/>
  <c r="DH92" i="2"/>
  <c r="DG92" i="2"/>
  <c r="CX92" i="2"/>
  <c r="CW92" i="2"/>
  <c r="DV92" i="2" s="1"/>
  <c r="CG92" i="2"/>
  <c r="CD92" i="2"/>
  <c r="CC92" i="2"/>
  <c r="CB92" i="2"/>
  <c r="CA92" i="2"/>
  <c r="BZ92" i="2"/>
  <c r="BW92" i="2"/>
  <c r="BV92" i="2"/>
  <c r="BU92" i="2"/>
  <c r="BT92" i="2"/>
  <c r="BS92" i="2"/>
  <c r="BR92" i="2"/>
  <c r="BQ92" i="2"/>
  <c r="BP92" i="2"/>
  <c r="BO92" i="2"/>
  <c r="BN92" i="2"/>
  <c r="BM92" i="2"/>
  <c r="BL92" i="2"/>
  <c r="BK92" i="2"/>
  <c r="BJ92" i="2"/>
  <c r="BI92" i="2"/>
  <c r="AZ92" i="2"/>
  <c r="AY92" i="2"/>
  <c r="BX92" i="2" s="1"/>
  <c r="AI92" i="2"/>
  <c r="AA92" i="2"/>
  <c r="G92" i="2" s="1"/>
  <c r="EE92" i="2" s="1"/>
  <c r="J92" i="2"/>
  <c r="EA91" i="2"/>
  <c r="DZ91" i="2"/>
  <c r="DY91" i="2"/>
  <c r="DX91" i="2"/>
  <c r="DU91" i="2"/>
  <c r="DT91" i="2"/>
  <c r="DS91" i="2"/>
  <c r="DR91" i="2"/>
  <c r="DQ91" i="2"/>
  <c r="DP91" i="2"/>
  <c r="DO91" i="2"/>
  <c r="DN91" i="2"/>
  <c r="DM91" i="2"/>
  <c r="DL91" i="2"/>
  <c r="DK91" i="2"/>
  <c r="DJ91" i="2"/>
  <c r="DI91" i="2"/>
  <c r="DH91" i="2"/>
  <c r="DG91" i="2"/>
  <c r="DF91" i="2"/>
  <c r="DC91" i="2"/>
  <c r="CX91" i="2"/>
  <c r="CW91" i="2"/>
  <c r="CC91" i="2"/>
  <c r="CB91" i="2"/>
  <c r="CA91" i="2"/>
  <c r="BZ91" i="2"/>
  <c r="BW91" i="2"/>
  <c r="BV91" i="2"/>
  <c r="BU91" i="2"/>
  <c r="BT91" i="2"/>
  <c r="BS91" i="2"/>
  <c r="BR91" i="2"/>
  <c r="BQ91" i="2"/>
  <c r="BP91" i="2"/>
  <c r="BO91" i="2"/>
  <c r="BN91" i="2"/>
  <c r="BM91" i="2"/>
  <c r="BL91" i="2"/>
  <c r="BK91" i="2"/>
  <c r="BJ91" i="2"/>
  <c r="BI91" i="2"/>
  <c r="BH91" i="2"/>
  <c r="BE91" i="2"/>
  <c r="AZ91" i="2"/>
  <c r="AY91" i="2"/>
  <c r="BX91" i="2" s="1"/>
  <c r="AF91" i="2"/>
  <c r="AA91" i="2"/>
  <c r="EA90" i="2"/>
  <c r="DZ90" i="2"/>
  <c r="DX90" i="2"/>
  <c r="DW90" i="2"/>
  <c r="DV90" i="2"/>
  <c r="DU90" i="2"/>
  <c r="DT90" i="2"/>
  <c r="DS90" i="2"/>
  <c r="DR90" i="2"/>
  <c r="DQ90" i="2"/>
  <c r="DP90" i="2"/>
  <c r="DO90" i="2"/>
  <c r="DN90" i="2"/>
  <c r="DM90" i="2"/>
  <c r="DL90" i="2"/>
  <c r="DK90" i="2"/>
  <c r="DJ90" i="2"/>
  <c r="DI90" i="2"/>
  <c r="DG90" i="2"/>
  <c r="DF90" i="2"/>
  <c r="DC90" i="2"/>
  <c r="EB90" i="2" s="1"/>
  <c r="CI90" i="2"/>
  <c r="CZ90" i="2" s="1"/>
  <c r="DY90" i="2" s="1"/>
  <c r="CC90" i="2"/>
  <c r="CB90" i="2"/>
  <c r="BZ90" i="2"/>
  <c r="BY90" i="2"/>
  <c r="BX90" i="2"/>
  <c r="BW90" i="2"/>
  <c r="BV90" i="2"/>
  <c r="BU90" i="2"/>
  <c r="BT90" i="2"/>
  <c r="BS90" i="2"/>
  <c r="BR90" i="2"/>
  <c r="BQ90" i="2"/>
  <c r="BP90" i="2"/>
  <c r="BO90" i="2"/>
  <c r="BN90" i="2"/>
  <c r="BM90" i="2"/>
  <c r="BL90" i="2"/>
  <c r="BK90" i="2"/>
  <c r="BI90" i="2"/>
  <c r="BH90" i="2"/>
  <c r="BE90" i="2"/>
  <c r="BB90" i="2"/>
  <c r="CA90" i="2" s="1"/>
  <c r="AK90" i="2"/>
  <c r="AK136" i="2" s="1"/>
  <c r="G90" i="2"/>
  <c r="EB89" i="2"/>
  <c r="EA89" i="2"/>
  <c r="DZ89" i="2"/>
  <c r="DX89" i="2"/>
  <c r="DV89" i="2"/>
  <c r="DU89" i="2"/>
  <c r="DT89" i="2"/>
  <c r="DS89" i="2"/>
  <c r="DR89" i="2"/>
  <c r="DQ89" i="2"/>
  <c r="DP89" i="2"/>
  <c r="DO89" i="2"/>
  <c r="DN89" i="2"/>
  <c r="DM89" i="2"/>
  <c r="DL89" i="2"/>
  <c r="DK89" i="2"/>
  <c r="DJ89" i="2"/>
  <c r="DI89" i="2"/>
  <c r="DH89" i="2"/>
  <c r="DG89" i="2"/>
  <c r="DF89" i="2"/>
  <c r="CZ89" i="2"/>
  <c r="DY89" i="2" s="1"/>
  <c r="CX89" i="2"/>
  <c r="CF89" i="2" s="1"/>
  <c r="EF89" i="2" s="1"/>
  <c r="CD89" i="2"/>
  <c r="CC89" i="2"/>
  <c r="CB89" i="2"/>
  <c r="BZ89" i="2"/>
  <c r="BX89" i="2"/>
  <c r="BW89" i="2"/>
  <c r="BV89" i="2"/>
  <c r="BU89" i="2"/>
  <c r="BT89" i="2"/>
  <c r="BS89" i="2"/>
  <c r="BR89" i="2"/>
  <c r="BQ89" i="2"/>
  <c r="BP89" i="2"/>
  <c r="BO89" i="2"/>
  <c r="BN89" i="2"/>
  <c r="BM89" i="2"/>
  <c r="BL89" i="2"/>
  <c r="BK89" i="2"/>
  <c r="BJ89" i="2"/>
  <c r="BI89" i="2"/>
  <c r="BH89" i="2"/>
  <c r="BB89" i="2"/>
  <c r="CA89" i="2" s="1"/>
  <c r="AZ89" i="2"/>
  <c r="BY89" i="2" s="1"/>
  <c r="G89" i="2"/>
  <c r="EE89" i="2" s="1"/>
  <c r="EB88" i="2"/>
  <c r="EA88" i="2"/>
  <c r="DZ88" i="2"/>
  <c r="DX88" i="2"/>
  <c r="DV88" i="2"/>
  <c r="DU88" i="2"/>
  <c r="DT88" i="2"/>
  <c r="DS88" i="2"/>
  <c r="DR88" i="2"/>
  <c r="DQ88" i="2"/>
  <c r="DP88" i="2"/>
  <c r="DO88" i="2"/>
  <c r="DN88" i="2"/>
  <c r="DM88" i="2"/>
  <c r="DL88" i="2"/>
  <c r="DK88" i="2"/>
  <c r="DJ88" i="2"/>
  <c r="DI88" i="2"/>
  <c r="DH88" i="2"/>
  <c r="DG88" i="2"/>
  <c r="DF88" i="2"/>
  <c r="CZ88" i="2"/>
  <c r="CD88" i="2"/>
  <c r="CC88" i="2"/>
  <c r="CB88" i="2"/>
  <c r="BZ88" i="2"/>
  <c r="BX88" i="2"/>
  <c r="BW88" i="2"/>
  <c r="BV88" i="2"/>
  <c r="BU88" i="2"/>
  <c r="BT88" i="2"/>
  <c r="BS88" i="2"/>
  <c r="BR88" i="2"/>
  <c r="BQ88" i="2"/>
  <c r="BP88" i="2"/>
  <c r="BO88" i="2"/>
  <c r="BN88" i="2"/>
  <c r="BM88" i="2"/>
  <c r="BL88" i="2"/>
  <c r="BK88" i="2"/>
  <c r="BJ88" i="2"/>
  <c r="BI88" i="2"/>
  <c r="BH88" i="2"/>
  <c r="BB88" i="2"/>
  <c r="AZ88" i="2"/>
  <c r="AA88" i="2"/>
  <c r="EB87" i="2"/>
  <c r="EA87" i="2"/>
  <c r="DZ87" i="2"/>
  <c r="DX87" i="2"/>
  <c r="DW87" i="2"/>
  <c r="DV87" i="2"/>
  <c r="DU87" i="2"/>
  <c r="DT87" i="2"/>
  <c r="DS87" i="2"/>
  <c r="DR87" i="2"/>
  <c r="DQ87" i="2"/>
  <c r="DP87" i="2"/>
  <c r="DO87" i="2"/>
  <c r="DN87" i="2"/>
  <c r="DM87" i="2"/>
  <c r="DL87" i="2"/>
  <c r="DK87" i="2"/>
  <c r="DJ87" i="2"/>
  <c r="DI87" i="2"/>
  <c r="DH87" i="2"/>
  <c r="DG87" i="2"/>
  <c r="DF87" i="2"/>
  <c r="CZ87" i="2"/>
  <c r="CD87" i="2"/>
  <c r="CC87" i="2"/>
  <c r="CB87" i="2"/>
  <c r="BZ87" i="2"/>
  <c r="BY87" i="2"/>
  <c r="BX87" i="2"/>
  <c r="BW87" i="2"/>
  <c r="BV87" i="2"/>
  <c r="BU87" i="2"/>
  <c r="BT87" i="2"/>
  <c r="BS87" i="2"/>
  <c r="BR87" i="2"/>
  <c r="BQ87" i="2"/>
  <c r="BP87" i="2"/>
  <c r="BO87" i="2"/>
  <c r="BN87" i="2"/>
  <c r="BM87" i="2"/>
  <c r="BL87" i="2"/>
  <c r="BK87" i="2"/>
  <c r="BJ87" i="2"/>
  <c r="BI87" i="2"/>
  <c r="BH87" i="2"/>
  <c r="BB87" i="2"/>
  <c r="CA87" i="2" s="1"/>
  <c r="G87" i="2"/>
  <c r="EE87" i="2" s="1"/>
  <c r="EA86" i="2"/>
  <c r="DZ86" i="2"/>
  <c r="DY86" i="2"/>
  <c r="DX86" i="2"/>
  <c r="DW86" i="2"/>
  <c r="DV86" i="2"/>
  <c r="DU86" i="2"/>
  <c r="DT86" i="2"/>
  <c r="DS86" i="2"/>
  <c r="DR86" i="2"/>
  <c r="DQ86" i="2"/>
  <c r="DP86" i="2"/>
  <c r="DO86" i="2"/>
  <c r="DN86" i="2"/>
  <c r="DM86" i="2"/>
  <c r="DL86" i="2"/>
  <c r="DK86" i="2"/>
  <c r="DJ86" i="2"/>
  <c r="DI86" i="2"/>
  <c r="DH86" i="2"/>
  <c r="DG86" i="2"/>
  <c r="DF86" i="2"/>
  <c r="DC86" i="2"/>
  <c r="CC86" i="2"/>
  <c r="CB86" i="2"/>
  <c r="CA86" i="2"/>
  <c r="BZ86" i="2"/>
  <c r="BY86" i="2"/>
  <c r="BX86" i="2"/>
  <c r="BW86" i="2"/>
  <c r="BV86" i="2"/>
  <c r="BU86" i="2"/>
  <c r="BT86" i="2"/>
  <c r="BS86" i="2"/>
  <c r="BR86" i="2"/>
  <c r="BQ86" i="2"/>
  <c r="BP86" i="2"/>
  <c r="BO86" i="2"/>
  <c r="BN86" i="2"/>
  <c r="BM86" i="2"/>
  <c r="BL86" i="2"/>
  <c r="BK86" i="2"/>
  <c r="BJ86" i="2"/>
  <c r="BI86" i="2"/>
  <c r="BH86" i="2"/>
  <c r="BE86" i="2"/>
  <c r="AF86" i="2"/>
  <c r="EB85" i="2"/>
  <c r="EA85" i="2"/>
  <c r="DZ85" i="2"/>
  <c r="DX85" i="2"/>
  <c r="DV85" i="2"/>
  <c r="DU85" i="2"/>
  <c r="DT85" i="2"/>
  <c r="DS85" i="2"/>
  <c r="DR85" i="2"/>
  <c r="DQ85" i="2"/>
  <c r="DP85" i="2"/>
  <c r="DO85" i="2"/>
  <c r="DN85" i="2"/>
  <c r="DM85" i="2"/>
  <c r="DL85" i="2"/>
  <c r="DK85" i="2"/>
  <c r="DJ85" i="2"/>
  <c r="DI85" i="2"/>
  <c r="DH85" i="2"/>
  <c r="DG85" i="2"/>
  <c r="DF85" i="2"/>
  <c r="CZ85" i="2"/>
  <c r="CF85" i="2" s="1"/>
  <c r="EF85" i="2" s="1"/>
  <c r="CD85" i="2"/>
  <c r="CC85" i="2"/>
  <c r="CB85" i="2"/>
  <c r="BZ85" i="2"/>
  <c r="BX85" i="2"/>
  <c r="BW85" i="2"/>
  <c r="BV85" i="2"/>
  <c r="BU85" i="2"/>
  <c r="BT85" i="2"/>
  <c r="BS85" i="2"/>
  <c r="BR85" i="2"/>
  <c r="BQ85" i="2"/>
  <c r="BP85" i="2"/>
  <c r="BO85" i="2"/>
  <c r="BN85" i="2"/>
  <c r="BM85" i="2"/>
  <c r="BL85" i="2"/>
  <c r="BK85" i="2"/>
  <c r="BJ85" i="2"/>
  <c r="BI85" i="2"/>
  <c r="BH85" i="2"/>
  <c r="BB85" i="2"/>
  <c r="CA85" i="2" s="1"/>
  <c r="AA85" i="2"/>
  <c r="G85" i="2" s="1"/>
  <c r="EE85" i="2" s="1"/>
  <c r="EB84" i="2"/>
  <c r="EA84" i="2"/>
  <c r="DZ84" i="2"/>
  <c r="DY84" i="2"/>
  <c r="DX84" i="2"/>
  <c r="DU84" i="2"/>
  <c r="DT84" i="2"/>
  <c r="DS84" i="2"/>
  <c r="DR84" i="2"/>
  <c r="DQ84" i="2"/>
  <c r="DP84" i="2"/>
  <c r="DO84" i="2"/>
  <c r="DN84" i="2"/>
  <c r="DM84" i="2"/>
  <c r="DL84" i="2"/>
  <c r="DK84" i="2"/>
  <c r="DJ84" i="2"/>
  <c r="DI84" i="2"/>
  <c r="DH84" i="2"/>
  <c r="DG84" i="2"/>
  <c r="CX84" i="2"/>
  <c r="CW84" i="2"/>
  <c r="DV84" i="2" s="1"/>
  <c r="CG84" i="2"/>
  <c r="CD84" i="2"/>
  <c r="CC84" i="2"/>
  <c r="CB84" i="2"/>
  <c r="CA84" i="2"/>
  <c r="BZ84" i="2"/>
  <c r="BW84" i="2"/>
  <c r="BV84" i="2"/>
  <c r="BU84" i="2"/>
  <c r="BT84" i="2"/>
  <c r="BS84" i="2"/>
  <c r="BR84" i="2"/>
  <c r="BQ84" i="2"/>
  <c r="BP84" i="2"/>
  <c r="BO84" i="2"/>
  <c r="BN84" i="2"/>
  <c r="BM84" i="2"/>
  <c r="BL84" i="2"/>
  <c r="BK84" i="2"/>
  <c r="BJ84" i="2"/>
  <c r="BI84" i="2"/>
  <c r="AZ84" i="2"/>
  <c r="AY84" i="2"/>
  <c r="BX84" i="2" s="1"/>
  <c r="AI84" i="2"/>
  <c r="AA84" i="2"/>
  <c r="J84" i="2"/>
  <c r="EB83" i="2"/>
  <c r="EA83" i="2"/>
  <c r="DZ83" i="2"/>
  <c r="DY83" i="2"/>
  <c r="DX83" i="2"/>
  <c r="DW83" i="2"/>
  <c r="DV83" i="2"/>
  <c r="DU83" i="2"/>
  <c r="DT83" i="2"/>
  <c r="DS83" i="2"/>
  <c r="DR83" i="2"/>
  <c r="DQ83" i="2"/>
  <c r="DP83" i="2"/>
  <c r="DO83" i="2"/>
  <c r="DN83" i="2"/>
  <c r="DM83" i="2"/>
  <c r="DL83" i="2"/>
  <c r="DK83" i="2"/>
  <c r="DJ83" i="2"/>
  <c r="DI83" i="2"/>
  <c r="DH83" i="2"/>
  <c r="DG83" i="2"/>
  <c r="DF83" i="2"/>
  <c r="CF83" i="2"/>
  <c r="EF83" i="2" s="1"/>
  <c r="CD83" i="2"/>
  <c r="CC83" i="2"/>
  <c r="CB83" i="2"/>
  <c r="CA83" i="2"/>
  <c r="BZ83" i="2"/>
  <c r="BY83" i="2"/>
  <c r="BX83" i="2"/>
  <c r="BW83" i="2"/>
  <c r="BV83" i="2"/>
  <c r="BU83" i="2"/>
  <c r="BT83" i="2"/>
  <c r="BS83" i="2"/>
  <c r="BR83" i="2"/>
  <c r="BQ83" i="2"/>
  <c r="BP83" i="2"/>
  <c r="BO83" i="2"/>
  <c r="BN83" i="2"/>
  <c r="BM83" i="2"/>
  <c r="BL83" i="2"/>
  <c r="BK83" i="2"/>
  <c r="BJ83" i="2"/>
  <c r="BI83" i="2"/>
  <c r="BH83" i="2"/>
  <c r="AH83" i="2"/>
  <c r="G83" i="2"/>
  <c r="EE83" i="2" s="1"/>
  <c r="EB82" i="2"/>
  <c r="EA82" i="2"/>
  <c r="DZ82" i="2"/>
  <c r="DY82" i="2"/>
  <c r="DX82" i="2"/>
  <c r="DW82" i="2"/>
  <c r="DV82" i="2"/>
  <c r="DU82" i="2"/>
  <c r="DT82" i="2"/>
  <c r="DS82" i="2"/>
  <c r="DR82" i="2"/>
  <c r="DQ82" i="2"/>
  <c r="DP82" i="2"/>
  <c r="DO82" i="2"/>
  <c r="DN82" i="2"/>
  <c r="DM82" i="2"/>
  <c r="DL82" i="2"/>
  <c r="DK82" i="2"/>
  <c r="DJ82" i="2"/>
  <c r="DI82" i="2"/>
  <c r="DH82" i="2"/>
  <c r="DG82" i="2"/>
  <c r="DF82" i="2"/>
  <c r="CF82" i="2"/>
  <c r="EF82" i="2" s="1"/>
  <c r="CD82" i="2"/>
  <c r="CC82" i="2"/>
  <c r="CB82" i="2"/>
  <c r="CA82" i="2"/>
  <c r="BZ82" i="2"/>
  <c r="BY82" i="2"/>
  <c r="BX82" i="2"/>
  <c r="BW82" i="2"/>
  <c r="BV82" i="2"/>
  <c r="BU82" i="2"/>
  <c r="BT82" i="2"/>
  <c r="BS82" i="2"/>
  <c r="BR82" i="2"/>
  <c r="BQ82" i="2"/>
  <c r="BP82" i="2"/>
  <c r="BO82" i="2"/>
  <c r="BN82" i="2"/>
  <c r="BM82" i="2"/>
  <c r="BL82" i="2"/>
  <c r="BK82" i="2"/>
  <c r="BJ82" i="2"/>
  <c r="BI82" i="2"/>
  <c r="BH82" i="2"/>
  <c r="AH82" i="2"/>
  <c r="G82" i="2"/>
  <c r="EE82" i="2" s="1"/>
  <c r="EB81" i="2"/>
  <c r="EA81" i="2"/>
  <c r="DZ81" i="2"/>
  <c r="DX81" i="2"/>
  <c r="DW81" i="2"/>
  <c r="DV81" i="2"/>
  <c r="DU81" i="2"/>
  <c r="DT81" i="2"/>
  <c r="DS81" i="2"/>
  <c r="DR81" i="2"/>
  <c r="DQ81" i="2"/>
  <c r="DP81" i="2"/>
  <c r="DO81" i="2"/>
  <c r="DN81" i="2"/>
  <c r="DM81" i="2"/>
  <c r="DL81" i="2"/>
  <c r="DK81" i="2"/>
  <c r="DJ81" i="2"/>
  <c r="DI81" i="2"/>
  <c r="DH81" i="2"/>
  <c r="DG81" i="2"/>
  <c r="CZ81" i="2"/>
  <c r="DY81" i="2" s="1"/>
  <c r="CG81" i="2"/>
  <c r="CD81" i="2"/>
  <c r="CC81" i="2"/>
  <c r="CB81" i="2"/>
  <c r="BZ81" i="2"/>
  <c r="BY81" i="2"/>
  <c r="BX81" i="2"/>
  <c r="BW81" i="2"/>
  <c r="BV81" i="2"/>
  <c r="BU81" i="2"/>
  <c r="BT81" i="2"/>
  <c r="BS81" i="2"/>
  <c r="BR81" i="2"/>
  <c r="BQ81" i="2"/>
  <c r="BP81" i="2"/>
  <c r="BO81" i="2"/>
  <c r="BN81" i="2"/>
  <c r="BM81" i="2"/>
  <c r="BL81" i="2"/>
  <c r="BK81" i="2"/>
  <c r="BJ81" i="2"/>
  <c r="BI81" i="2"/>
  <c r="BB81" i="2"/>
  <c r="AI81" i="2"/>
  <c r="BH81" i="2" s="1"/>
  <c r="G81" i="2"/>
  <c r="EE81" i="2" s="1"/>
  <c r="EB80" i="2"/>
  <c r="EA80" i="2"/>
  <c r="DZ80" i="2"/>
  <c r="DX80" i="2"/>
  <c r="DV80" i="2"/>
  <c r="DU80" i="2"/>
  <c r="DT80" i="2"/>
  <c r="DS80" i="2"/>
  <c r="DR80" i="2"/>
  <c r="DQ80" i="2"/>
  <c r="DP80" i="2"/>
  <c r="DO80" i="2"/>
  <c r="DN80" i="2"/>
  <c r="DM80" i="2"/>
  <c r="DL80" i="2"/>
  <c r="DK80" i="2"/>
  <c r="DJ80" i="2"/>
  <c r="DI80" i="2"/>
  <c r="DH80" i="2"/>
  <c r="DG80" i="2"/>
  <c r="DF80" i="2"/>
  <c r="CZ80" i="2"/>
  <c r="CD80" i="2"/>
  <c r="CC80" i="2"/>
  <c r="CB80" i="2"/>
  <c r="BZ80" i="2"/>
  <c r="BX80" i="2"/>
  <c r="BW80" i="2"/>
  <c r="BV80" i="2"/>
  <c r="BU80" i="2"/>
  <c r="BT80" i="2"/>
  <c r="BS80" i="2"/>
  <c r="BR80" i="2"/>
  <c r="BQ80" i="2"/>
  <c r="BP80" i="2"/>
  <c r="BO80" i="2"/>
  <c r="BN80" i="2"/>
  <c r="BM80" i="2"/>
  <c r="BL80" i="2"/>
  <c r="BK80" i="2"/>
  <c r="BJ80" i="2"/>
  <c r="BI80" i="2"/>
  <c r="BH80" i="2"/>
  <c r="BB80" i="2"/>
  <c r="AH80" i="2" s="1"/>
  <c r="AA80" i="2"/>
  <c r="DW80" i="2" s="1"/>
  <c r="EB79" i="2"/>
  <c r="EA79" i="2"/>
  <c r="DZ79" i="2"/>
  <c r="DX79" i="2"/>
  <c r="DV79" i="2"/>
  <c r="DU79" i="2"/>
  <c r="DT79" i="2"/>
  <c r="DS79" i="2"/>
  <c r="DR79" i="2"/>
  <c r="DQ79" i="2"/>
  <c r="DP79" i="2"/>
  <c r="DO79" i="2"/>
  <c r="DN79" i="2"/>
  <c r="DM79" i="2"/>
  <c r="DL79" i="2"/>
  <c r="DK79" i="2"/>
  <c r="DJ79" i="2"/>
  <c r="DI79" i="2"/>
  <c r="DH79" i="2"/>
  <c r="DG79" i="2"/>
  <c r="CZ79" i="2"/>
  <c r="DY79" i="2" s="1"/>
  <c r="CG79" i="2"/>
  <c r="CD79" i="2"/>
  <c r="CC79" i="2"/>
  <c r="CB79" i="2"/>
  <c r="BZ79" i="2"/>
  <c r="BX79" i="2"/>
  <c r="BW79" i="2"/>
  <c r="BV79" i="2"/>
  <c r="BU79" i="2"/>
  <c r="BT79" i="2"/>
  <c r="BS79" i="2"/>
  <c r="BR79" i="2"/>
  <c r="BQ79" i="2"/>
  <c r="BP79" i="2"/>
  <c r="BO79" i="2"/>
  <c r="BN79" i="2"/>
  <c r="BM79" i="2"/>
  <c r="BL79" i="2"/>
  <c r="BK79" i="2"/>
  <c r="BJ79" i="2"/>
  <c r="BI79" i="2"/>
  <c r="BB79" i="2"/>
  <c r="AI79" i="2"/>
  <c r="AA79" i="2"/>
  <c r="BY79" i="2" s="1"/>
  <c r="J79" i="2"/>
  <c r="DB78" i="2"/>
  <c r="DA78" i="2"/>
  <c r="CZ78" i="2"/>
  <c r="CW78" i="2"/>
  <c r="CU78" i="2"/>
  <c r="CT78" i="2"/>
  <c r="CS78" i="2"/>
  <c r="CR78" i="2"/>
  <c r="CQ78" i="2"/>
  <c r="CP78" i="2"/>
  <c r="CO78" i="2"/>
  <c r="CN78" i="2"/>
  <c r="CM78" i="2"/>
  <c r="CK78" i="2"/>
  <c r="CJ78" i="2"/>
  <c r="CI78" i="2"/>
  <c r="CG78" i="2"/>
  <c r="BD78" i="2"/>
  <c r="BC78" i="2"/>
  <c r="BB78" i="2"/>
  <c r="AY78" i="2"/>
  <c r="AW78" i="2"/>
  <c r="AV78" i="2"/>
  <c r="AU78" i="2"/>
  <c r="AT78" i="2"/>
  <c r="AS78" i="2"/>
  <c r="AR78" i="2"/>
  <c r="AQ78" i="2"/>
  <c r="AP78" i="2"/>
  <c r="AO78" i="2"/>
  <c r="AM78" i="2"/>
  <c r="AK78" i="2"/>
  <c r="AI78" i="2"/>
  <c r="AE78" i="2"/>
  <c r="AD78" i="2"/>
  <c r="AC78" i="2"/>
  <c r="Z78" i="2"/>
  <c r="X78" i="2"/>
  <c r="W78" i="2"/>
  <c r="V78" i="2"/>
  <c r="U78" i="2"/>
  <c r="T78" i="2"/>
  <c r="S78" i="2"/>
  <c r="R78" i="2"/>
  <c r="Q78" i="2"/>
  <c r="P78" i="2"/>
  <c r="O78" i="2"/>
  <c r="N78" i="2"/>
  <c r="M78" i="2"/>
  <c r="L78" i="2"/>
  <c r="J78" i="2"/>
  <c r="EB77" i="2"/>
  <c r="EA77" i="2"/>
  <c r="DZ77" i="2"/>
  <c r="DY77" i="2"/>
  <c r="DX77" i="2"/>
  <c r="DW77" i="2"/>
  <c r="DV77" i="2"/>
  <c r="DU77" i="2"/>
  <c r="DT77" i="2"/>
  <c r="DS77" i="2"/>
  <c r="DR77" i="2"/>
  <c r="DQ77" i="2"/>
  <c r="DP77" i="2"/>
  <c r="DO77" i="2"/>
  <c r="DN77" i="2"/>
  <c r="DM77" i="2"/>
  <c r="DL77" i="2"/>
  <c r="DK77" i="2"/>
  <c r="DJ77" i="2"/>
  <c r="DI77" i="2"/>
  <c r="DH77" i="2"/>
  <c r="DF77" i="2"/>
  <c r="DD77" i="2"/>
  <c r="CF77" i="2"/>
  <c r="EF77" i="2" s="1"/>
  <c r="CD77" i="2"/>
  <c r="CC77" i="2"/>
  <c r="CB77" i="2"/>
  <c r="CA77" i="2"/>
  <c r="BZ77" i="2"/>
  <c r="BY77" i="2"/>
  <c r="BX77" i="2"/>
  <c r="BW77" i="2"/>
  <c r="BV77" i="2"/>
  <c r="BU77" i="2"/>
  <c r="BT77" i="2"/>
  <c r="BS77" i="2"/>
  <c r="BR77" i="2"/>
  <c r="BQ77" i="2"/>
  <c r="BP77" i="2"/>
  <c r="BO77" i="2"/>
  <c r="BN77" i="2"/>
  <c r="BM77" i="2"/>
  <c r="BL77" i="2"/>
  <c r="BK77" i="2"/>
  <c r="BJ77" i="2"/>
  <c r="BH77" i="2"/>
  <c r="AH77" i="2"/>
  <c r="K77" i="2"/>
  <c r="EB76" i="2"/>
  <c r="EA76" i="2"/>
  <c r="DZ76" i="2"/>
  <c r="DY76" i="2"/>
  <c r="DX76" i="2"/>
  <c r="DV76" i="2"/>
  <c r="DU76" i="2"/>
  <c r="DT76" i="2"/>
  <c r="DS76" i="2"/>
  <c r="DR76" i="2"/>
  <c r="DQ76" i="2"/>
  <c r="DP76" i="2"/>
  <c r="DO76" i="2"/>
  <c r="DN76" i="2"/>
  <c r="DM76" i="2"/>
  <c r="DL76" i="2"/>
  <c r="DK76" i="2"/>
  <c r="DJ76" i="2"/>
  <c r="DI76" i="2"/>
  <c r="DH76" i="2"/>
  <c r="DF76" i="2"/>
  <c r="CX76" i="2"/>
  <c r="CH76" i="2"/>
  <c r="CD76" i="2"/>
  <c r="CC76" i="2"/>
  <c r="CB76" i="2"/>
  <c r="CA76" i="2"/>
  <c r="BZ76" i="2"/>
  <c r="BX76" i="2"/>
  <c r="BW76" i="2"/>
  <c r="BV76" i="2"/>
  <c r="BU76" i="2"/>
  <c r="BT76" i="2"/>
  <c r="BS76" i="2"/>
  <c r="BR76" i="2"/>
  <c r="BQ76" i="2"/>
  <c r="BP76" i="2"/>
  <c r="BO76" i="2"/>
  <c r="BN76" i="2"/>
  <c r="BM76" i="2"/>
  <c r="BL76" i="2"/>
  <c r="BK76" i="2"/>
  <c r="BJ76" i="2"/>
  <c r="BH76" i="2"/>
  <c r="AZ76" i="2"/>
  <c r="AJ76" i="2"/>
  <c r="AA76" i="2"/>
  <c r="K76" i="2"/>
  <c r="G76" i="2" s="1"/>
  <c r="EE76" i="2" s="1"/>
  <c r="EB75" i="2"/>
  <c r="EA75" i="2"/>
  <c r="DZ75" i="2"/>
  <c r="DY75" i="2"/>
  <c r="DX75" i="2"/>
  <c r="DV75" i="2"/>
  <c r="DU75" i="2"/>
  <c r="DT75" i="2"/>
  <c r="DS75" i="2"/>
  <c r="DR75" i="2"/>
  <c r="DQ75" i="2"/>
  <c r="DP75" i="2"/>
  <c r="DO75" i="2"/>
  <c r="DN75" i="2"/>
  <c r="DM75" i="2"/>
  <c r="DL75" i="2"/>
  <c r="DK75" i="2"/>
  <c r="DJ75" i="2"/>
  <c r="DI75" i="2"/>
  <c r="DH75" i="2"/>
  <c r="DG75" i="2"/>
  <c r="DF75" i="2"/>
  <c r="CX75" i="2"/>
  <c r="CD75" i="2"/>
  <c r="CC75" i="2"/>
  <c r="CB75" i="2"/>
  <c r="CA75" i="2"/>
  <c r="BZ75" i="2"/>
  <c r="BX75" i="2"/>
  <c r="BW75" i="2"/>
  <c r="BV75" i="2"/>
  <c r="BU75" i="2"/>
  <c r="BT75" i="2"/>
  <c r="BS75" i="2"/>
  <c r="BR75" i="2"/>
  <c r="BQ75" i="2"/>
  <c r="BP75" i="2"/>
  <c r="BO75" i="2"/>
  <c r="BN75" i="2"/>
  <c r="BM75" i="2"/>
  <c r="BL75" i="2"/>
  <c r="BK75" i="2"/>
  <c r="BJ75" i="2"/>
  <c r="BI75" i="2"/>
  <c r="BH75" i="2"/>
  <c r="AZ75" i="2"/>
  <c r="AH75" i="2" s="1"/>
  <c r="AA75" i="2"/>
  <c r="G75" i="2"/>
  <c r="EB74" i="2"/>
  <c r="EA74" i="2"/>
  <c r="DZ74" i="2"/>
  <c r="DY74" i="2"/>
  <c r="DX74" i="2"/>
  <c r="DV74" i="2"/>
  <c r="DU74" i="2"/>
  <c r="DT74" i="2"/>
  <c r="DS74" i="2"/>
  <c r="DR74" i="2"/>
  <c r="DQ74" i="2"/>
  <c r="DP74" i="2"/>
  <c r="DO74" i="2"/>
  <c r="DN74" i="2"/>
  <c r="DM74" i="2"/>
  <c r="DL74" i="2"/>
  <c r="DK74" i="2"/>
  <c r="DJ74" i="2"/>
  <c r="DI74" i="2"/>
  <c r="DH74" i="2"/>
  <c r="DF74" i="2"/>
  <c r="CX74" i="2"/>
  <c r="CH74" i="2"/>
  <c r="CD74" i="2"/>
  <c r="CC74" i="2"/>
  <c r="CB74" i="2"/>
  <c r="CA74" i="2"/>
  <c r="BZ74" i="2"/>
  <c r="BX74" i="2"/>
  <c r="BW74" i="2"/>
  <c r="BV74" i="2"/>
  <c r="BU74" i="2"/>
  <c r="BT74" i="2"/>
  <c r="BS74" i="2"/>
  <c r="BR74" i="2"/>
  <c r="BQ74" i="2"/>
  <c r="BP74" i="2"/>
  <c r="BO74" i="2"/>
  <c r="BN74" i="2"/>
  <c r="BM74" i="2"/>
  <c r="BL74" i="2"/>
  <c r="BK74" i="2"/>
  <c r="BJ74" i="2"/>
  <c r="BH74" i="2"/>
  <c r="AZ74" i="2"/>
  <c r="AJ74" i="2"/>
  <c r="AA74" i="2"/>
  <c r="K74" i="2"/>
  <c r="EB73" i="2"/>
  <c r="EA73" i="2"/>
  <c r="DZ73" i="2"/>
  <c r="DY73" i="2"/>
  <c r="DX73" i="2"/>
  <c r="DV73" i="2"/>
  <c r="DU73" i="2"/>
  <c r="DT73" i="2"/>
  <c r="DS73" i="2"/>
  <c r="DR73" i="2"/>
  <c r="DQ73" i="2"/>
  <c r="DP73" i="2"/>
  <c r="DO73" i="2"/>
  <c r="DN73" i="2"/>
  <c r="DM73" i="2"/>
  <c r="DL73" i="2"/>
  <c r="DK73" i="2"/>
  <c r="DJ73" i="2"/>
  <c r="DI73" i="2"/>
  <c r="DH73" i="2"/>
  <c r="DF73" i="2"/>
  <c r="CX73" i="2"/>
  <c r="CH73" i="2"/>
  <c r="CD73" i="2"/>
  <c r="CC73" i="2"/>
  <c r="CB73" i="2"/>
  <c r="CA73" i="2"/>
  <c r="BZ73" i="2"/>
  <c r="BX73" i="2"/>
  <c r="BW73" i="2"/>
  <c r="BV73" i="2"/>
  <c r="BU73" i="2"/>
  <c r="BT73" i="2"/>
  <c r="BS73" i="2"/>
  <c r="BR73" i="2"/>
  <c r="BQ73" i="2"/>
  <c r="BP73" i="2"/>
  <c r="BO73" i="2"/>
  <c r="BN73" i="2"/>
  <c r="BM73" i="2"/>
  <c r="BL73" i="2"/>
  <c r="BK73" i="2"/>
  <c r="BJ73" i="2"/>
  <c r="BH73" i="2"/>
  <c r="AZ73" i="2"/>
  <c r="AJ73" i="2"/>
  <c r="AA73" i="2"/>
  <c r="K73" i="2"/>
  <c r="EA72" i="2"/>
  <c r="DZ72" i="2"/>
  <c r="DY72" i="2"/>
  <c r="DV72" i="2"/>
  <c r="DU72" i="2"/>
  <c r="DT72" i="2"/>
  <c r="DS72" i="2"/>
  <c r="DR72" i="2"/>
  <c r="DQ72" i="2"/>
  <c r="DP72" i="2"/>
  <c r="DO72" i="2"/>
  <c r="DN72" i="2"/>
  <c r="DM72" i="2"/>
  <c r="DL72" i="2"/>
  <c r="DK72" i="2"/>
  <c r="DJ72" i="2"/>
  <c r="DI72" i="2"/>
  <c r="DH72" i="2"/>
  <c r="DF72" i="2"/>
  <c r="DC72" i="2"/>
  <c r="CY72" i="2"/>
  <c r="DX72" i="2" s="1"/>
  <c r="CX72" i="2"/>
  <c r="CH72" i="2"/>
  <c r="DG72" i="2" s="1"/>
  <c r="CC72" i="2"/>
  <c r="CB72" i="2"/>
  <c r="CA72" i="2"/>
  <c r="BX72" i="2"/>
  <c r="BW72" i="2"/>
  <c r="BV72" i="2"/>
  <c r="BU72" i="2"/>
  <c r="BT72" i="2"/>
  <c r="BS72" i="2"/>
  <c r="BR72" i="2"/>
  <c r="BQ72" i="2"/>
  <c r="BP72" i="2"/>
  <c r="BO72" i="2"/>
  <c r="BN72" i="2"/>
  <c r="BM72" i="2"/>
  <c r="BL72" i="2"/>
  <c r="BK72" i="2"/>
  <c r="BJ72" i="2"/>
  <c r="BH72" i="2"/>
  <c r="BE72" i="2"/>
  <c r="BA72" i="2"/>
  <c r="BZ72" i="2" s="1"/>
  <c r="AZ72" i="2"/>
  <c r="AJ72" i="2"/>
  <c r="AF72" i="2"/>
  <c r="AA72" i="2"/>
  <c r="K72" i="2"/>
  <c r="EB71" i="2"/>
  <c r="EA71" i="2"/>
  <c r="DZ71" i="2"/>
  <c r="DY71" i="2"/>
  <c r="DX71" i="2"/>
  <c r="DV71" i="2"/>
  <c r="DU71" i="2"/>
  <c r="DT71" i="2"/>
  <c r="DS71" i="2"/>
  <c r="DR71" i="2"/>
  <c r="DQ71" i="2"/>
  <c r="DP71" i="2"/>
  <c r="DO71" i="2"/>
  <c r="DN71" i="2"/>
  <c r="DM71" i="2"/>
  <c r="DL71" i="2"/>
  <c r="DK71" i="2"/>
  <c r="DJ71" i="2"/>
  <c r="DI71" i="2"/>
  <c r="DH71" i="2"/>
  <c r="DF71" i="2"/>
  <c r="CH71" i="2"/>
  <c r="CF71" i="2" s="1"/>
  <c r="EF71" i="2" s="1"/>
  <c r="CD71" i="2"/>
  <c r="CC71" i="2"/>
  <c r="CB71" i="2"/>
  <c r="CA71" i="2"/>
  <c r="BZ71" i="2"/>
  <c r="BX71" i="2"/>
  <c r="BW71" i="2"/>
  <c r="BV71" i="2"/>
  <c r="BU71" i="2"/>
  <c r="BT71" i="2"/>
  <c r="BS71" i="2"/>
  <c r="BR71" i="2"/>
  <c r="BQ71" i="2"/>
  <c r="BP71" i="2"/>
  <c r="BO71" i="2"/>
  <c r="BN71" i="2"/>
  <c r="BM71" i="2"/>
  <c r="BL71" i="2"/>
  <c r="BK71" i="2"/>
  <c r="BJ71" i="2"/>
  <c r="BH71" i="2"/>
  <c r="AJ71" i="2"/>
  <c r="AH71" i="2" s="1"/>
  <c r="AA71" i="2"/>
  <c r="K71" i="2"/>
  <c r="EB70" i="2"/>
  <c r="EA70" i="2"/>
  <c r="DZ70" i="2"/>
  <c r="DY70" i="2"/>
  <c r="DV70" i="2"/>
  <c r="DU70" i="2"/>
  <c r="DT70" i="2"/>
  <c r="DS70" i="2"/>
  <c r="DR70" i="2"/>
  <c r="DQ70" i="2"/>
  <c r="DP70" i="2"/>
  <c r="DO70" i="2"/>
  <c r="DN70" i="2"/>
  <c r="DM70" i="2"/>
  <c r="DL70" i="2"/>
  <c r="DK70" i="2"/>
  <c r="DJ70" i="2"/>
  <c r="DI70" i="2"/>
  <c r="DH70" i="2"/>
  <c r="DF70" i="2"/>
  <c r="CY70" i="2"/>
  <c r="CX70" i="2"/>
  <c r="CH70" i="2"/>
  <c r="CD70" i="2"/>
  <c r="CC70" i="2"/>
  <c r="CB70" i="2"/>
  <c r="CA70" i="2"/>
  <c r="BX70" i="2"/>
  <c r="BW70" i="2"/>
  <c r="BV70" i="2"/>
  <c r="BU70" i="2"/>
  <c r="BT70" i="2"/>
  <c r="BS70" i="2"/>
  <c r="BR70" i="2"/>
  <c r="BQ70" i="2"/>
  <c r="BP70" i="2"/>
  <c r="BO70" i="2"/>
  <c r="BN70" i="2"/>
  <c r="BM70" i="2"/>
  <c r="BL70" i="2"/>
  <c r="BK70" i="2"/>
  <c r="BJ70" i="2"/>
  <c r="BH70" i="2"/>
  <c r="BA70" i="2"/>
  <c r="AZ70" i="2"/>
  <c r="AJ70" i="2"/>
  <c r="AB70" i="2"/>
  <c r="AA70" i="2"/>
  <c r="K70" i="2"/>
  <c r="EB69" i="2"/>
  <c r="EA69" i="2"/>
  <c r="DZ69" i="2"/>
  <c r="DY69" i="2"/>
  <c r="DV69" i="2"/>
  <c r="DU69" i="2"/>
  <c r="DT69" i="2"/>
  <c r="DS69" i="2"/>
  <c r="DR69" i="2"/>
  <c r="DQ69" i="2"/>
  <c r="DP69" i="2"/>
  <c r="DO69" i="2"/>
  <c r="DN69" i="2"/>
  <c r="DM69" i="2"/>
  <c r="DL69" i="2"/>
  <c r="DK69" i="2"/>
  <c r="DJ69" i="2"/>
  <c r="DI69" i="2"/>
  <c r="DH69" i="2"/>
  <c r="DF69" i="2"/>
  <c r="CY69" i="2"/>
  <c r="DX69" i="2" s="1"/>
  <c r="CX69" i="2"/>
  <c r="CH69" i="2"/>
  <c r="CD69" i="2"/>
  <c r="CC69" i="2"/>
  <c r="CB69" i="2"/>
  <c r="CA69" i="2"/>
  <c r="BX69" i="2"/>
  <c r="BW69" i="2"/>
  <c r="BV69" i="2"/>
  <c r="BU69" i="2"/>
  <c r="BT69" i="2"/>
  <c r="BS69" i="2"/>
  <c r="BR69" i="2"/>
  <c r="BQ69" i="2"/>
  <c r="BP69" i="2"/>
  <c r="BO69" i="2"/>
  <c r="BN69" i="2"/>
  <c r="BM69" i="2"/>
  <c r="BL69" i="2"/>
  <c r="BK69" i="2"/>
  <c r="BJ69" i="2"/>
  <c r="BH69" i="2"/>
  <c r="BA69" i="2"/>
  <c r="BZ69" i="2" s="1"/>
  <c r="AZ69" i="2"/>
  <c r="AJ69" i="2"/>
  <c r="AA69" i="2"/>
  <c r="K69" i="2"/>
  <c r="EA68" i="2"/>
  <c r="DZ68" i="2"/>
  <c r="DY68" i="2"/>
  <c r="DX68" i="2"/>
  <c r="DW68" i="2"/>
  <c r="DV68" i="2"/>
  <c r="DU68" i="2"/>
  <c r="DT68" i="2"/>
  <c r="DS68" i="2"/>
  <c r="DR68" i="2"/>
  <c r="DQ68" i="2"/>
  <c r="DP68" i="2"/>
  <c r="DO68" i="2"/>
  <c r="DN68" i="2"/>
  <c r="DM68" i="2"/>
  <c r="DL68" i="2"/>
  <c r="DK68" i="2"/>
  <c r="DJ68" i="2"/>
  <c r="DI68" i="2"/>
  <c r="DH68" i="2"/>
  <c r="DF68" i="2"/>
  <c r="DC68" i="2"/>
  <c r="CH68" i="2"/>
  <c r="CC68" i="2"/>
  <c r="CB68" i="2"/>
  <c r="CA68" i="2"/>
  <c r="BZ68" i="2"/>
  <c r="BY68" i="2"/>
  <c r="BX68" i="2"/>
  <c r="BW68" i="2"/>
  <c r="BV68" i="2"/>
  <c r="BU68" i="2"/>
  <c r="BT68" i="2"/>
  <c r="BS68" i="2"/>
  <c r="BR68" i="2"/>
  <c r="BQ68" i="2"/>
  <c r="BP68" i="2"/>
  <c r="BO68" i="2"/>
  <c r="BN68" i="2"/>
  <c r="BM68" i="2"/>
  <c r="BL68" i="2"/>
  <c r="BK68" i="2"/>
  <c r="BJ68" i="2"/>
  <c r="BH68" i="2"/>
  <c r="BE68" i="2"/>
  <c r="AJ68" i="2"/>
  <c r="AF68" i="2"/>
  <c r="K68" i="2"/>
  <c r="EB67" i="2"/>
  <c r="EA67" i="2"/>
  <c r="DZ67" i="2"/>
  <c r="DY67" i="2"/>
  <c r="DX67" i="2"/>
  <c r="DW67" i="2"/>
  <c r="DV67" i="2"/>
  <c r="DT67" i="2"/>
  <c r="DS67" i="2"/>
  <c r="DR67" i="2"/>
  <c r="DQ67" i="2"/>
  <c r="DP67" i="2"/>
  <c r="DO67" i="2"/>
  <c r="DN67" i="2"/>
  <c r="DM67" i="2"/>
  <c r="DL67" i="2"/>
  <c r="DK67" i="2"/>
  <c r="DJ67" i="2"/>
  <c r="DI67" i="2"/>
  <c r="DH67" i="2"/>
  <c r="DF67" i="2"/>
  <c r="CV67" i="2"/>
  <c r="CH67" i="2"/>
  <c r="CD67" i="2"/>
  <c r="CC67" i="2"/>
  <c r="CB67" i="2"/>
  <c r="CA67" i="2"/>
  <c r="BZ67" i="2"/>
  <c r="BY67" i="2"/>
  <c r="BX67" i="2"/>
  <c r="BV67" i="2"/>
  <c r="BU67" i="2"/>
  <c r="BT67" i="2"/>
  <c r="BS67" i="2"/>
  <c r="BR67" i="2"/>
  <c r="BQ67" i="2"/>
  <c r="BP67" i="2"/>
  <c r="BO67" i="2"/>
  <c r="BN67" i="2"/>
  <c r="BM67" i="2"/>
  <c r="BL67" i="2"/>
  <c r="BK67" i="2"/>
  <c r="BJ67" i="2"/>
  <c r="BH67" i="2"/>
  <c r="AX67" i="2"/>
  <c r="AX78" i="2" s="1"/>
  <c r="AJ67" i="2"/>
  <c r="BI67" i="2" s="1"/>
  <c r="Y67" i="2"/>
  <c r="G67" i="2" s="1"/>
  <c r="EE67" i="2" s="1"/>
  <c r="EA66" i="2"/>
  <c r="DZ66" i="2"/>
  <c r="DY66" i="2"/>
  <c r="DX66" i="2"/>
  <c r="DW66" i="2"/>
  <c r="DV66" i="2"/>
  <c r="DU66" i="2"/>
  <c r="DT66" i="2"/>
  <c r="DS66" i="2"/>
  <c r="DR66" i="2"/>
  <c r="DQ66" i="2"/>
  <c r="DP66" i="2"/>
  <c r="DO66" i="2"/>
  <c r="DN66" i="2"/>
  <c r="DM66" i="2"/>
  <c r="DL66" i="2"/>
  <c r="DK66" i="2"/>
  <c r="DJ66" i="2"/>
  <c r="DI66" i="2"/>
  <c r="DH66" i="2"/>
  <c r="DG66" i="2"/>
  <c r="DF66" i="2"/>
  <c r="DC66" i="2"/>
  <c r="CF66" i="2" s="1"/>
  <c r="EF66" i="2" s="1"/>
  <c r="CC66" i="2"/>
  <c r="CB66" i="2"/>
  <c r="CA66" i="2"/>
  <c r="BZ66" i="2"/>
  <c r="BY66" i="2"/>
  <c r="BX66" i="2"/>
  <c r="BW66" i="2"/>
  <c r="BV66" i="2"/>
  <c r="BU66" i="2"/>
  <c r="BT66" i="2"/>
  <c r="BS66" i="2"/>
  <c r="BR66" i="2"/>
  <c r="BQ66" i="2"/>
  <c r="BP66" i="2"/>
  <c r="BO66" i="2"/>
  <c r="BN66" i="2"/>
  <c r="BM66" i="2"/>
  <c r="BL66" i="2"/>
  <c r="BK66" i="2"/>
  <c r="BJ66" i="2"/>
  <c r="BI66" i="2"/>
  <c r="BH66" i="2"/>
  <c r="BE66" i="2"/>
  <c r="AF66" i="2"/>
  <c r="G66" i="2" s="1"/>
  <c r="EE66" i="2" s="1"/>
  <c r="EB65" i="2"/>
  <c r="EA65" i="2"/>
  <c r="DZ65" i="2"/>
  <c r="DY65" i="2"/>
  <c r="DX65" i="2"/>
  <c r="DW65" i="2"/>
  <c r="DV65" i="2"/>
  <c r="DU65" i="2"/>
  <c r="DT65" i="2"/>
  <c r="DS65" i="2"/>
  <c r="DR65" i="2"/>
  <c r="DQ65" i="2"/>
  <c r="DP65" i="2"/>
  <c r="DO65" i="2"/>
  <c r="DN65" i="2"/>
  <c r="DM65" i="2"/>
  <c r="DL65" i="2"/>
  <c r="DK65" i="2"/>
  <c r="DJ65" i="2"/>
  <c r="DI65" i="2"/>
  <c r="DH65" i="2"/>
  <c r="DG65" i="2"/>
  <c r="DF65" i="2"/>
  <c r="DD65" i="2"/>
  <c r="CF65" i="2"/>
  <c r="EF65" i="2" s="1"/>
  <c r="CD65" i="2"/>
  <c r="CC65" i="2"/>
  <c r="CB65" i="2"/>
  <c r="CA65" i="2"/>
  <c r="BZ65" i="2"/>
  <c r="BY65" i="2"/>
  <c r="BX65" i="2"/>
  <c r="BW65" i="2"/>
  <c r="BV65" i="2"/>
  <c r="BU65" i="2"/>
  <c r="BT65" i="2"/>
  <c r="BS65" i="2"/>
  <c r="BR65" i="2"/>
  <c r="BQ65" i="2"/>
  <c r="BP65" i="2"/>
  <c r="BO65" i="2"/>
  <c r="BN65" i="2"/>
  <c r="BM65" i="2"/>
  <c r="BL65" i="2"/>
  <c r="BK65" i="2"/>
  <c r="BJ65" i="2"/>
  <c r="BI65" i="2"/>
  <c r="BH65" i="2"/>
  <c r="AH65" i="2"/>
  <c r="H65" i="2"/>
  <c r="G65" i="2"/>
  <c r="EE65" i="2" s="1"/>
  <c r="EA64" i="2"/>
  <c r="DZ64" i="2"/>
  <c r="DY64" i="2"/>
  <c r="DV64" i="2"/>
  <c r="DU64" i="2"/>
  <c r="DT64" i="2"/>
  <c r="DS64" i="2"/>
  <c r="DR64" i="2"/>
  <c r="DQ64" i="2"/>
  <c r="DP64" i="2"/>
  <c r="DO64" i="2"/>
  <c r="DN64" i="2"/>
  <c r="DM64" i="2"/>
  <c r="DL64" i="2"/>
  <c r="DJ64" i="2"/>
  <c r="DI64" i="2"/>
  <c r="DH64" i="2"/>
  <c r="DF64" i="2"/>
  <c r="DC64" i="2"/>
  <c r="CY64" i="2"/>
  <c r="DX64" i="2" s="1"/>
  <c r="CX64" i="2"/>
  <c r="CL64" i="2"/>
  <c r="DK64" i="2" s="1"/>
  <c r="CH64" i="2"/>
  <c r="CC64" i="2"/>
  <c r="CB64" i="2"/>
  <c r="CA64" i="2"/>
  <c r="BX64" i="2"/>
  <c r="BW64" i="2"/>
  <c r="BV64" i="2"/>
  <c r="BU64" i="2"/>
  <c r="BT64" i="2"/>
  <c r="BS64" i="2"/>
  <c r="BR64" i="2"/>
  <c r="BQ64" i="2"/>
  <c r="BP64" i="2"/>
  <c r="BO64" i="2"/>
  <c r="BN64" i="2"/>
  <c r="BL64" i="2"/>
  <c r="BK64" i="2"/>
  <c r="BJ64" i="2"/>
  <c r="BH64" i="2"/>
  <c r="BE64" i="2"/>
  <c r="BA64" i="2"/>
  <c r="BZ64" i="2" s="1"/>
  <c r="AZ64" i="2"/>
  <c r="AN64" i="2"/>
  <c r="AJ64" i="2"/>
  <c r="AF64" i="2"/>
  <c r="AA64" i="2"/>
  <c r="K64" i="2"/>
  <c r="EB63" i="2"/>
  <c r="EA63" i="2"/>
  <c r="DZ63" i="2"/>
  <c r="DY63" i="2"/>
  <c r="DV63" i="2"/>
  <c r="DU63" i="2"/>
  <c r="DT63" i="2"/>
  <c r="DS63" i="2"/>
  <c r="DR63" i="2"/>
  <c r="DQ63" i="2"/>
  <c r="DP63" i="2"/>
  <c r="DO63" i="2"/>
  <c r="DN63" i="2"/>
  <c r="DM63" i="2"/>
  <c r="DL63" i="2"/>
  <c r="DJ63" i="2"/>
  <c r="DI63" i="2"/>
  <c r="DH63" i="2"/>
  <c r="DF63" i="2"/>
  <c r="CY63" i="2"/>
  <c r="CX63" i="2"/>
  <c r="CL63" i="2"/>
  <c r="DK63" i="2" s="1"/>
  <c r="CH63" i="2"/>
  <c r="CD63" i="2"/>
  <c r="CC63" i="2"/>
  <c r="CB63" i="2"/>
  <c r="CA63" i="2"/>
  <c r="BX63" i="2"/>
  <c r="BW63" i="2"/>
  <c r="BV63" i="2"/>
  <c r="BU63" i="2"/>
  <c r="BT63" i="2"/>
  <c r="BS63" i="2"/>
  <c r="BR63" i="2"/>
  <c r="BQ63" i="2"/>
  <c r="BP63" i="2"/>
  <c r="BO63" i="2"/>
  <c r="BN63" i="2"/>
  <c r="BL63" i="2"/>
  <c r="BK63" i="2"/>
  <c r="BJ63" i="2"/>
  <c r="BH63" i="2"/>
  <c r="BA63" i="2"/>
  <c r="AZ63" i="2"/>
  <c r="AN63" i="2"/>
  <c r="BM63" i="2" s="1"/>
  <c r="AJ63" i="2"/>
  <c r="AB63" i="2"/>
  <c r="AA63" i="2"/>
  <c r="K63" i="2"/>
  <c r="EB62" i="2"/>
  <c r="EA62" i="2"/>
  <c r="DZ62" i="2"/>
  <c r="DY62" i="2"/>
  <c r="DX62" i="2"/>
  <c r="DV62" i="2"/>
  <c r="DU62" i="2"/>
  <c r="DT62" i="2"/>
  <c r="DS62" i="2"/>
  <c r="DR62" i="2"/>
  <c r="DQ62" i="2"/>
  <c r="DP62" i="2"/>
  <c r="DO62" i="2"/>
  <c r="DN62" i="2"/>
  <c r="DM62" i="2"/>
  <c r="DL62" i="2"/>
  <c r="DK62" i="2"/>
  <c r="DJ62" i="2"/>
  <c r="DI62" i="2"/>
  <c r="DH62" i="2"/>
  <c r="DF62" i="2"/>
  <c r="CX62" i="2"/>
  <c r="CH62" i="2"/>
  <c r="CD62" i="2"/>
  <c r="CC62" i="2"/>
  <c r="CB62" i="2"/>
  <c r="CA62" i="2"/>
  <c r="BZ62" i="2"/>
  <c r="BX62" i="2"/>
  <c r="BW62" i="2"/>
  <c r="BV62" i="2"/>
  <c r="BU62" i="2"/>
  <c r="BT62" i="2"/>
  <c r="BS62" i="2"/>
  <c r="BR62" i="2"/>
  <c r="BQ62" i="2"/>
  <c r="BP62" i="2"/>
  <c r="BO62" i="2"/>
  <c r="BN62" i="2"/>
  <c r="BM62" i="2"/>
  <c r="BL62" i="2"/>
  <c r="BK62" i="2"/>
  <c r="BJ62" i="2"/>
  <c r="BH62" i="2"/>
  <c r="AZ62" i="2"/>
  <c r="AJ62" i="2"/>
  <c r="AA62" i="2"/>
  <c r="K62" i="2"/>
  <c r="EB61" i="2"/>
  <c r="EA61" i="2"/>
  <c r="DZ61" i="2"/>
  <c r="DY61" i="2"/>
  <c r="DV61" i="2"/>
  <c r="DU61" i="2"/>
  <c r="DT61" i="2"/>
  <c r="DS61" i="2"/>
  <c r="DR61" i="2"/>
  <c r="DQ61" i="2"/>
  <c r="DP61" i="2"/>
  <c r="DO61" i="2"/>
  <c r="DN61" i="2"/>
  <c r="DM61" i="2"/>
  <c r="DL61" i="2"/>
  <c r="DK61" i="2"/>
  <c r="DJ61" i="2"/>
  <c r="DI61" i="2"/>
  <c r="DH61" i="2"/>
  <c r="DF61" i="2"/>
  <c r="CY61" i="2"/>
  <c r="CX61" i="2"/>
  <c r="CH61" i="2"/>
  <c r="CD61" i="2"/>
  <c r="CC61" i="2"/>
  <c r="CB61" i="2"/>
  <c r="CA61" i="2"/>
  <c r="BX61" i="2"/>
  <c r="BW61" i="2"/>
  <c r="BV61" i="2"/>
  <c r="BU61" i="2"/>
  <c r="BT61" i="2"/>
  <c r="BS61" i="2"/>
  <c r="BR61" i="2"/>
  <c r="BQ61" i="2"/>
  <c r="BP61" i="2"/>
  <c r="BO61" i="2"/>
  <c r="BN61" i="2"/>
  <c r="BM61" i="2"/>
  <c r="BL61" i="2"/>
  <c r="BK61" i="2"/>
  <c r="BJ61" i="2"/>
  <c r="BH61" i="2"/>
  <c r="BA61" i="2"/>
  <c r="AZ61" i="2"/>
  <c r="AJ61" i="2"/>
  <c r="AB61" i="2"/>
  <c r="AA61" i="2"/>
  <c r="K61" i="2"/>
  <c r="EB60" i="2"/>
  <c r="EA60" i="2"/>
  <c r="DZ60" i="2"/>
  <c r="DY60" i="2"/>
  <c r="DX60" i="2"/>
  <c r="DW60" i="2"/>
  <c r="DV60" i="2"/>
  <c r="DU60" i="2"/>
  <c r="DT60" i="2"/>
  <c r="DS60" i="2"/>
  <c r="DR60" i="2"/>
  <c r="DQ60" i="2"/>
  <c r="DP60" i="2"/>
  <c r="DO60" i="2"/>
  <c r="DN60" i="2"/>
  <c r="DM60" i="2"/>
  <c r="DL60" i="2"/>
  <c r="DK60" i="2"/>
  <c r="DJ60" i="2"/>
  <c r="DI60" i="2"/>
  <c r="DH60" i="2"/>
  <c r="DF60" i="2"/>
  <c r="CH60" i="2"/>
  <c r="CF60" i="2" s="1"/>
  <c r="EF60" i="2" s="1"/>
  <c r="CD60" i="2"/>
  <c r="CC60" i="2"/>
  <c r="CB60" i="2"/>
  <c r="CA60" i="2"/>
  <c r="BZ60" i="2"/>
  <c r="BY60" i="2"/>
  <c r="BX60" i="2"/>
  <c r="BW60" i="2"/>
  <c r="BV60" i="2"/>
  <c r="BU60" i="2"/>
  <c r="BT60" i="2"/>
  <c r="BS60" i="2"/>
  <c r="BR60" i="2"/>
  <c r="BQ60" i="2"/>
  <c r="BP60" i="2"/>
  <c r="BO60" i="2"/>
  <c r="BN60" i="2"/>
  <c r="BM60" i="2"/>
  <c r="BL60" i="2"/>
  <c r="BK60" i="2"/>
  <c r="BJ60" i="2"/>
  <c r="BH60" i="2"/>
  <c r="AJ60" i="2"/>
  <c r="AH60" i="2" s="1"/>
  <c r="K60" i="2"/>
  <c r="DG60" i="2" s="1"/>
  <c r="EB59" i="2"/>
  <c r="EA59" i="2"/>
  <c r="DZ59" i="2"/>
  <c r="DY59" i="2"/>
  <c r="DX59" i="2"/>
  <c r="DV59" i="2"/>
  <c r="DU59" i="2"/>
  <c r="DT59" i="2"/>
  <c r="DS59" i="2"/>
  <c r="DR59" i="2"/>
  <c r="DQ59" i="2"/>
  <c r="DP59" i="2"/>
  <c r="DO59" i="2"/>
  <c r="DN59" i="2"/>
  <c r="DM59" i="2"/>
  <c r="DL59" i="2"/>
  <c r="DK59" i="2"/>
  <c r="DJ59" i="2"/>
  <c r="DI59" i="2"/>
  <c r="DH59" i="2"/>
  <c r="DF59" i="2"/>
  <c r="CX59" i="2"/>
  <c r="CH59" i="2"/>
  <c r="CD59" i="2"/>
  <c r="CC59" i="2"/>
  <c r="CB59" i="2"/>
  <c r="CA59" i="2"/>
  <c r="BZ59" i="2"/>
  <c r="BX59" i="2"/>
  <c r="BW59" i="2"/>
  <c r="BV59" i="2"/>
  <c r="BU59" i="2"/>
  <c r="BT59" i="2"/>
  <c r="BS59" i="2"/>
  <c r="BR59" i="2"/>
  <c r="BQ59" i="2"/>
  <c r="BP59" i="2"/>
  <c r="BO59" i="2"/>
  <c r="BN59" i="2"/>
  <c r="BM59" i="2"/>
  <c r="BL59" i="2"/>
  <c r="BK59" i="2"/>
  <c r="BJ59" i="2"/>
  <c r="BH59" i="2"/>
  <c r="AZ59" i="2"/>
  <c r="AJ59" i="2"/>
  <c r="AA59" i="2"/>
  <c r="K59" i="2"/>
  <c r="EB58" i="2"/>
  <c r="EA58" i="2"/>
  <c r="DZ58" i="2"/>
  <c r="DY58" i="2"/>
  <c r="DX58" i="2"/>
  <c r="DW58" i="2"/>
  <c r="DV58" i="2"/>
  <c r="DU58" i="2"/>
  <c r="DT58" i="2"/>
  <c r="DS58" i="2"/>
  <c r="DR58" i="2"/>
  <c r="DQ58" i="2"/>
  <c r="DP58" i="2"/>
  <c r="DO58" i="2"/>
  <c r="DN58" i="2"/>
  <c r="DM58" i="2"/>
  <c r="DL58" i="2"/>
  <c r="DK58" i="2"/>
  <c r="DJ58" i="2"/>
  <c r="DI58" i="2"/>
  <c r="DH58" i="2"/>
  <c r="DF58" i="2"/>
  <c r="CH58" i="2"/>
  <c r="CD58" i="2"/>
  <c r="CC58" i="2"/>
  <c r="CB58" i="2"/>
  <c r="CA58" i="2"/>
  <c r="BZ58" i="2"/>
  <c r="BY58" i="2"/>
  <c r="BX58" i="2"/>
  <c r="BW58" i="2"/>
  <c r="BV58" i="2"/>
  <c r="BU58" i="2"/>
  <c r="BT58" i="2"/>
  <c r="BS58" i="2"/>
  <c r="BR58" i="2"/>
  <c r="BQ58" i="2"/>
  <c r="BP58" i="2"/>
  <c r="BO58" i="2"/>
  <c r="BN58" i="2"/>
  <c r="BM58" i="2"/>
  <c r="BL58" i="2"/>
  <c r="BK58" i="2"/>
  <c r="BJ58" i="2"/>
  <c r="BH58" i="2"/>
  <c r="AJ58" i="2"/>
  <c r="AH58" i="2" s="1"/>
  <c r="K58" i="2"/>
  <c r="G58" i="2" s="1"/>
  <c r="EE58" i="2" s="1"/>
  <c r="EB57" i="2"/>
  <c r="EA57" i="2"/>
  <c r="DZ57" i="2"/>
  <c r="DY57" i="2"/>
  <c r="DV57" i="2"/>
  <c r="DU57" i="2"/>
  <c r="DT57" i="2"/>
  <c r="DS57" i="2"/>
  <c r="DR57" i="2"/>
  <c r="DQ57" i="2"/>
  <c r="DP57" i="2"/>
  <c r="DO57" i="2"/>
  <c r="DN57" i="2"/>
  <c r="DM57" i="2"/>
  <c r="DL57" i="2"/>
  <c r="DK57" i="2"/>
  <c r="DJ57" i="2"/>
  <c r="DI57" i="2"/>
  <c r="DH57" i="2"/>
  <c r="DF57" i="2"/>
  <c r="CY57" i="2"/>
  <c r="CX57" i="2"/>
  <c r="CH57" i="2"/>
  <c r="CD57" i="2"/>
  <c r="CC57" i="2"/>
  <c r="CB57" i="2"/>
  <c r="CA57" i="2"/>
  <c r="BX57" i="2"/>
  <c r="BW57" i="2"/>
  <c r="BV57" i="2"/>
  <c r="BU57" i="2"/>
  <c r="BT57" i="2"/>
  <c r="BS57" i="2"/>
  <c r="BR57" i="2"/>
  <c r="BQ57" i="2"/>
  <c r="BP57" i="2"/>
  <c r="BO57" i="2"/>
  <c r="BN57" i="2"/>
  <c r="BM57" i="2"/>
  <c r="BL57" i="2"/>
  <c r="BK57" i="2"/>
  <c r="BJ57" i="2"/>
  <c r="BH57" i="2"/>
  <c r="BA57" i="2"/>
  <c r="AZ57" i="2"/>
  <c r="AJ57" i="2"/>
  <c r="AB57" i="2"/>
  <c r="AA57" i="2"/>
  <c r="K57" i="2"/>
  <c r="EA56" i="2"/>
  <c r="DZ56" i="2"/>
  <c r="DY56" i="2"/>
  <c r="DV56" i="2"/>
  <c r="DU56" i="2"/>
  <c r="DT56" i="2"/>
  <c r="DS56" i="2"/>
  <c r="DR56" i="2"/>
  <c r="DQ56" i="2"/>
  <c r="DP56" i="2"/>
  <c r="DO56" i="2"/>
  <c r="DN56" i="2"/>
  <c r="DM56" i="2"/>
  <c r="DL56" i="2"/>
  <c r="DK56" i="2"/>
  <c r="DJ56" i="2"/>
  <c r="DI56" i="2"/>
  <c r="DH56" i="2"/>
  <c r="DF56" i="2"/>
  <c r="DC56" i="2"/>
  <c r="CY56" i="2"/>
  <c r="CX56" i="2"/>
  <c r="CH56" i="2"/>
  <c r="CC56" i="2"/>
  <c r="CB56" i="2"/>
  <c r="CA56" i="2"/>
  <c r="BX56" i="2"/>
  <c r="BW56" i="2"/>
  <c r="BV56" i="2"/>
  <c r="BU56" i="2"/>
  <c r="BT56" i="2"/>
  <c r="BS56" i="2"/>
  <c r="BR56" i="2"/>
  <c r="BQ56" i="2"/>
  <c r="BP56" i="2"/>
  <c r="BO56" i="2"/>
  <c r="BN56" i="2"/>
  <c r="BM56" i="2"/>
  <c r="BL56" i="2"/>
  <c r="BK56" i="2"/>
  <c r="BJ56" i="2"/>
  <c r="BH56" i="2"/>
  <c r="BE56" i="2"/>
  <c r="BA56" i="2"/>
  <c r="AZ56" i="2"/>
  <c r="AJ56" i="2"/>
  <c r="AF56" i="2"/>
  <c r="AB56" i="2"/>
  <c r="AA56" i="2"/>
  <c r="K56" i="2"/>
  <c r="H56" i="2"/>
  <c r="EA55" i="2"/>
  <c r="DZ55" i="2"/>
  <c r="DY55" i="2"/>
  <c r="DX55" i="2"/>
  <c r="DV55" i="2"/>
  <c r="DU55" i="2"/>
  <c r="DT55" i="2"/>
  <c r="DS55" i="2"/>
  <c r="DR55" i="2"/>
  <c r="DQ55" i="2"/>
  <c r="DP55" i="2"/>
  <c r="DO55" i="2"/>
  <c r="DN55" i="2"/>
  <c r="DM55" i="2"/>
  <c r="DL55" i="2"/>
  <c r="DK55" i="2"/>
  <c r="DJ55" i="2"/>
  <c r="DI55" i="2"/>
  <c r="DH55" i="2"/>
  <c r="DF55" i="2"/>
  <c r="DC55" i="2"/>
  <c r="CH55" i="2"/>
  <c r="CC55" i="2"/>
  <c r="CB55" i="2"/>
  <c r="CA55" i="2"/>
  <c r="BZ55" i="2"/>
  <c r="BX55" i="2"/>
  <c r="BW55" i="2"/>
  <c r="BV55" i="2"/>
  <c r="BU55" i="2"/>
  <c r="BT55" i="2"/>
  <c r="BS55" i="2"/>
  <c r="BR55" i="2"/>
  <c r="BQ55" i="2"/>
  <c r="BP55" i="2"/>
  <c r="BO55" i="2"/>
  <c r="BN55" i="2"/>
  <c r="BM55" i="2"/>
  <c r="BL55" i="2"/>
  <c r="BK55" i="2"/>
  <c r="BJ55" i="2"/>
  <c r="BH55" i="2"/>
  <c r="BE55" i="2"/>
  <c r="AJ55" i="2"/>
  <c r="AF55" i="2"/>
  <c r="AA55" i="2"/>
  <c r="DW55" i="2" s="1"/>
  <c r="K55" i="2"/>
  <c r="EB54" i="2"/>
  <c r="EA54" i="2"/>
  <c r="DZ54" i="2"/>
  <c r="DY54" i="2"/>
  <c r="DX54" i="2"/>
  <c r="DV54" i="2"/>
  <c r="DU54" i="2"/>
  <c r="DT54" i="2"/>
  <c r="DS54" i="2"/>
  <c r="DR54" i="2"/>
  <c r="DQ54" i="2"/>
  <c r="DP54" i="2"/>
  <c r="DO54" i="2"/>
  <c r="DN54" i="2"/>
  <c r="DM54" i="2"/>
  <c r="DL54" i="2"/>
  <c r="DK54" i="2"/>
  <c r="DJ54" i="2"/>
  <c r="DI54" i="2"/>
  <c r="DH54" i="2"/>
  <c r="DF54" i="2"/>
  <c r="CH54" i="2"/>
  <c r="CD54" i="2"/>
  <c r="CC54" i="2"/>
  <c r="CB54" i="2"/>
  <c r="CA54" i="2"/>
  <c r="BZ54" i="2"/>
  <c r="BX54" i="2"/>
  <c r="BW54" i="2"/>
  <c r="BV54" i="2"/>
  <c r="BU54" i="2"/>
  <c r="BT54" i="2"/>
  <c r="BS54" i="2"/>
  <c r="BR54" i="2"/>
  <c r="BQ54" i="2"/>
  <c r="BP54" i="2"/>
  <c r="BO54" i="2"/>
  <c r="BN54" i="2"/>
  <c r="BM54" i="2"/>
  <c r="BL54" i="2"/>
  <c r="BK54" i="2"/>
  <c r="BJ54" i="2"/>
  <c r="BH54" i="2"/>
  <c r="AJ54" i="2"/>
  <c r="AA54" i="2"/>
  <c r="BY54" i="2" s="1"/>
  <c r="K54" i="2"/>
  <c r="EA53" i="2"/>
  <c r="DZ53" i="2"/>
  <c r="DY53" i="2"/>
  <c r="DX53" i="2"/>
  <c r="DV53" i="2"/>
  <c r="DU53" i="2"/>
  <c r="DT53" i="2"/>
  <c r="DS53" i="2"/>
  <c r="DR53" i="2"/>
  <c r="DQ53" i="2"/>
  <c r="DP53" i="2"/>
  <c r="DO53" i="2"/>
  <c r="DN53" i="2"/>
  <c r="DM53" i="2"/>
  <c r="DL53" i="2"/>
  <c r="DK53" i="2"/>
  <c r="DJ53" i="2"/>
  <c r="DI53" i="2"/>
  <c r="DH53" i="2"/>
  <c r="DF53" i="2"/>
  <c r="CX53" i="2"/>
  <c r="CH53" i="2"/>
  <c r="CC53" i="2"/>
  <c r="CB53" i="2"/>
  <c r="CA53" i="2"/>
  <c r="BZ53" i="2"/>
  <c r="BX53" i="2"/>
  <c r="BW53" i="2"/>
  <c r="BV53" i="2"/>
  <c r="BU53" i="2"/>
  <c r="BT53" i="2"/>
  <c r="BS53" i="2"/>
  <c r="BR53" i="2"/>
  <c r="BQ53" i="2"/>
  <c r="BP53" i="2"/>
  <c r="BO53" i="2"/>
  <c r="BN53" i="2"/>
  <c r="BM53" i="2"/>
  <c r="BL53" i="2"/>
  <c r="BK53" i="2"/>
  <c r="BJ53" i="2"/>
  <c r="BH53" i="2"/>
  <c r="AZ53" i="2"/>
  <c r="AJ53" i="2"/>
  <c r="AF53" i="2"/>
  <c r="CD53" i="2" s="1"/>
  <c r="AA53" i="2"/>
  <c r="K53" i="2"/>
  <c r="EA52" i="2"/>
  <c r="DZ52" i="2"/>
  <c r="DY52" i="2"/>
  <c r="DX52" i="2"/>
  <c r="DV52" i="2"/>
  <c r="DU52" i="2"/>
  <c r="DT52" i="2"/>
  <c r="DS52" i="2"/>
  <c r="DR52" i="2"/>
  <c r="DQ52" i="2"/>
  <c r="DP52" i="2"/>
  <c r="DO52" i="2"/>
  <c r="DN52" i="2"/>
  <c r="DM52" i="2"/>
  <c r="DL52" i="2"/>
  <c r="DK52" i="2"/>
  <c r="DJ52" i="2"/>
  <c r="DI52" i="2"/>
  <c r="DH52" i="2"/>
  <c r="DF52" i="2"/>
  <c r="DC52" i="2"/>
  <c r="CH52" i="2"/>
  <c r="CC52" i="2"/>
  <c r="CB52" i="2"/>
  <c r="CA52" i="2"/>
  <c r="BZ52" i="2"/>
  <c r="BX52" i="2"/>
  <c r="BW52" i="2"/>
  <c r="BV52" i="2"/>
  <c r="BU52" i="2"/>
  <c r="BT52" i="2"/>
  <c r="BS52" i="2"/>
  <c r="BR52" i="2"/>
  <c r="BQ52" i="2"/>
  <c r="BP52" i="2"/>
  <c r="BO52" i="2"/>
  <c r="BN52" i="2"/>
  <c r="BM52" i="2"/>
  <c r="BL52" i="2"/>
  <c r="BK52" i="2"/>
  <c r="BJ52" i="2"/>
  <c r="BH52" i="2"/>
  <c r="BE52" i="2"/>
  <c r="AJ52" i="2"/>
  <c r="AF52" i="2"/>
  <c r="AA52" i="2"/>
  <c r="BY52" i="2" s="1"/>
  <c r="K52" i="2"/>
  <c r="DB51" i="2"/>
  <c r="CZ51" i="2"/>
  <c r="CW51" i="2"/>
  <c r="CT51" i="2"/>
  <c r="CS51" i="2"/>
  <c r="CM51" i="2"/>
  <c r="CL51" i="2"/>
  <c r="CK51" i="2"/>
  <c r="CJ51" i="2"/>
  <c r="CI51" i="2"/>
  <c r="CG51" i="2"/>
  <c r="BD51" i="2"/>
  <c r="BB51" i="2"/>
  <c r="AY51" i="2"/>
  <c r="AV51" i="2"/>
  <c r="AU51" i="2"/>
  <c r="AO51" i="2"/>
  <c r="AN51" i="2"/>
  <c r="AM51" i="2"/>
  <c r="AL51" i="2"/>
  <c r="AK51" i="2"/>
  <c r="AI51" i="2"/>
  <c r="AE51" i="2"/>
  <c r="AC51" i="2"/>
  <c r="AB51" i="2"/>
  <c r="Z51" i="2"/>
  <c r="W51" i="2"/>
  <c r="V51" i="2"/>
  <c r="T51" i="2"/>
  <c r="P51" i="2"/>
  <c r="O51" i="2"/>
  <c r="N51" i="2"/>
  <c r="M51" i="2"/>
  <c r="L51" i="2"/>
  <c r="J51" i="2"/>
  <c r="EA50" i="2"/>
  <c r="DZ50" i="2"/>
  <c r="DY50" i="2"/>
  <c r="DX50" i="2"/>
  <c r="DV50" i="2"/>
  <c r="DU50" i="2"/>
  <c r="DT50" i="2"/>
  <c r="DS50" i="2"/>
  <c r="DR50" i="2"/>
  <c r="DP50" i="2"/>
  <c r="DO50" i="2"/>
  <c r="DN50" i="2"/>
  <c r="DL50" i="2"/>
  <c r="DK50" i="2"/>
  <c r="DJ50" i="2"/>
  <c r="DI50" i="2"/>
  <c r="DH50" i="2"/>
  <c r="DF50" i="2"/>
  <c r="DC50" i="2"/>
  <c r="CX50" i="2"/>
  <c r="DW50" i="2" s="1"/>
  <c r="CR50" i="2"/>
  <c r="CN50" i="2"/>
  <c r="CH50" i="2"/>
  <c r="CC50" i="2"/>
  <c r="CB50" i="2"/>
  <c r="CA50" i="2"/>
  <c r="BZ50" i="2"/>
  <c r="BX50" i="2"/>
  <c r="BW50" i="2"/>
  <c r="BV50" i="2"/>
  <c r="BU50" i="2"/>
  <c r="BT50" i="2"/>
  <c r="BR50" i="2"/>
  <c r="BQ50" i="2"/>
  <c r="BP50" i="2"/>
  <c r="BN50" i="2"/>
  <c r="BM50" i="2"/>
  <c r="BL50" i="2"/>
  <c r="BK50" i="2"/>
  <c r="BJ50" i="2"/>
  <c r="BH50" i="2"/>
  <c r="BE50" i="2"/>
  <c r="AZ50" i="2"/>
  <c r="BY50" i="2" s="1"/>
  <c r="AT50" i="2"/>
  <c r="AT138" i="2" s="1"/>
  <c r="AP50" i="2"/>
  <c r="AJ50" i="2"/>
  <c r="AF50" i="2"/>
  <c r="U50" i="2"/>
  <c r="Q50" i="2"/>
  <c r="K50" i="2"/>
  <c r="EA49" i="2"/>
  <c r="DZ49" i="2"/>
  <c r="DY49" i="2"/>
  <c r="DX49" i="2"/>
  <c r="DV49" i="2"/>
  <c r="DU49" i="2"/>
  <c r="DT49" i="2"/>
  <c r="DS49" i="2"/>
  <c r="DR49" i="2"/>
  <c r="DQ49" i="2"/>
  <c r="DP49" i="2"/>
  <c r="DO49" i="2"/>
  <c r="DN49" i="2"/>
  <c r="DL49" i="2"/>
  <c r="DK49" i="2"/>
  <c r="DJ49" i="2"/>
  <c r="DI49" i="2"/>
  <c r="DH49" i="2"/>
  <c r="DG49" i="2"/>
  <c r="DF49" i="2"/>
  <c r="DC49" i="2"/>
  <c r="CX49" i="2"/>
  <c r="DW49" i="2" s="1"/>
  <c r="CN49" i="2"/>
  <c r="CC49" i="2"/>
  <c r="CB49" i="2"/>
  <c r="CA49" i="2"/>
  <c r="BZ49" i="2"/>
  <c r="BX49" i="2"/>
  <c r="BW49" i="2"/>
  <c r="BV49" i="2"/>
  <c r="BU49" i="2"/>
  <c r="BT49" i="2"/>
  <c r="BS49" i="2"/>
  <c r="BR49" i="2"/>
  <c r="BQ49" i="2"/>
  <c r="BP49" i="2"/>
  <c r="BN49" i="2"/>
  <c r="BM49" i="2"/>
  <c r="BL49" i="2"/>
  <c r="BK49" i="2"/>
  <c r="BJ49" i="2"/>
  <c r="BI49" i="2"/>
  <c r="BH49" i="2"/>
  <c r="BE49" i="2"/>
  <c r="AZ49" i="2"/>
  <c r="BY49" i="2" s="1"/>
  <c r="AP49" i="2"/>
  <c r="AF49" i="2"/>
  <c r="EA48" i="2"/>
  <c r="DZ48" i="2"/>
  <c r="DY48" i="2"/>
  <c r="DX48" i="2"/>
  <c r="DV48" i="2"/>
  <c r="DU48" i="2"/>
  <c r="DT48" i="2"/>
  <c r="DS48" i="2"/>
  <c r="DR48" i="2"/>
  <c r="DQ48" i="2"/>
  <c r="DP48" i="2"/>
  <c r="DO48" i="2"/>
  <c r="DN48" i="2"/>
  <c r="DM48" i="2"/>
  <c r="DL48" i="2"/>
  <c r="DK48" i="2"/>
  <c r="DJ48" i="2"/>
  <c r="DI48" i="2"/>
  <c r="DH48" i="2"/>
  <c r="DF48" i="2"/>
  <c r="DC48" i="2"/>
  <c r="CX48" i="2"/>
  <c r="CH48" i="2"/>
  <c r="DG48" i="2" s="1"/>
  <c r="CC48" i="2"/>
  <c r="CB48" i="2"/>
  <c r="CA48" i="2"/>
  <c r="BZ48" i="2"/>
  <c r="BX48" i="2"/>
  <c r="BW48" i="2"/>
  <c r="BV48" i="2"/>
  <c r="BU48" i="2"/>
  <c r="BT48" i="2"/>
  <c r="BS48" i="2"/>
  <c r="BR48" i="2"/>
  <c r="BQ48" i="2"/>
  <c r="BP48" i="2"/>
  <c r="BO48" i="2"/>
  <c r="BN48" i="2"/>
  <c r="BM48" i="2"/>
  <c r="BL48" i="2"/>
  <c r="BK48" i="2"/>
  <c r="BJ48" i="2"/>
  <c r="BH48" i="2"/>
  <c r="BE48" i="2"/>
  <c r="AZ48" i="2"/>
  <c r="AJ48" i="2"/>
  <c r="BI48" i="2" s="1"/>
  <c r="AF48" i="2"/>
  <c r="G48" i="2" s="1"/>
  <c r="EB47" i="2"/>
  <c r="EA47" i="2"/>
  <c r="DZ47" i="2"/>
  <c r="DY47" i="2"/>
  <c r="DV47" i="2"/>
  <c r="DT47" i="2"/>
  <c r="DS47" i="2"/>
  <c r="DR47" i="2"/>
  <c r="DQ47" i="2"/>
  <c r="DP47" i="2"/>
  <c r="DO47" i="2"/>
  <c r="DN47" i="2"/>
  <c r="DL47" i="2"/>
  <c r="DK47" i="2"/>
  <c r="DJ47" i="2"/>
  <c r="DI47" i="2"/>
  <c r="DH47" i="2"/>
  <c r="DF47" i="2"/>
  <c r="CY47" i="2"/>
  <c r="DX47" i="2" s="1"/>
  <c r="CX47" i="2"/>
  <c r="DW47" i="2" s="1"/>
  <c r="CV47" i="2"/>
  <c r="CV51" i="2" s="1"/>
  <c r="CN47" i="2"/>
  <c r="DM47" i="2" s="1"/>
  <c r="CH47" i="2"/>
  <c r="CD47" i="2"/>
  <c r="CC47" i="2"/>
  <c r="CB47" i="2"/>
  <c r="CA47" i="2"/>
  <c r="BX47" i="2"/>
  <c r="BV47" i="2"/>
  <c r="BU47" i="2"/>
  <c r="BT47" i="2"/>
  <c r="BS47" i="2"/>
  <c r="BR47" i="2"/>
  <c r="BQ47" i="2"/>
  <c r="BP47" i="2"/>
  <c r="BN47" i="2"/>
  <c r="BM47" i="2"/>
  <c r="BL47" i="2"/>
  <c r="BK47" i="2"/>
  <c r="BJ47" i="2"/>
  <c r="BH47" i="2"/>
  <c r="BA47" i="2"/>
  <c r="BZ47" i="2" s="1"/>
  <c r="AZ47" i="2"/>
  <c r="BY47" i="2" s="1"/>
  <c r="AX47" i="2"/>
  <c r="AX138" i="2" s="1"/>
  <c r="AP47" i="2"/>
  <c r="BO47" i="2" s="1"/>
  <c r="AJ47" i="2"/>
  <c r="Y47" i="2"/>
  <c r="Y138" i="2" s="1"/>
  <c r="G47" i="2"/>
  <c r="EE47" i="2" s="1"/>
  <c r="EB46" i="2"/>
  <c r="EA46" i="2"/>
  <c r="DZ46" i="2"/>
  <c r="DY46" i="2"/>
  <c r="DX46" i="2"/>
  <c r="DW46" i="2"/>
  <c r="DV46" i="2"/>
  <c r="DU46" i="2"/>
  <c r="DT46" i="2"/>
  <c r="DS46" i="2"/>
  <c r="DR46" i="2"/>
  <c r="DP46" i="2"/>
  <c r="DO46" i="2"/>
  <c r="DN46" i="2"/>
  <c r="DL46" i="2"/>
  <c r="DK46" i="2"/>
  <c r="DJ46" i="2"/>
  <c r="DI46" i="2"/>
  <c r="DH46" i="2"/>
  <c r="DF46" i="2"/>
  <c r="CN46" i="2"/>
  <c r="DM46" i="2" s="1"/>
  <c r="CD46" i="2"/>
  <c r="CC46" i="2"/>
  <c r="CB46" i="2"/>
  <c r="CA46" i="2"/>
  <c r="BZ46" i="2"/>
  <c r="BY46" i="2"/>
  <c r="BX46" i="2"/>
  <c r="BW46" i="2"/>
  <c r="BV46" i="2"/>
  <c r="BU46" i="2"/>
  <c r="BT46" i="2"/>
  <c r="BR46" i="2"/>
  <c r="BQ46" i="2"/>
  <c r="BP46" i="2"/>
  <c r="BN46" i="2"/>
  <c r="BM46" i="2"/>
  <c r="BL46" i="2"/>
  <c r="BK46" i="2"/>
  <c r="BJ46" i="2"/>
  <c r="BH46" i="2"/>
  <c r="AP46" i="2"/>
  <c r="BO46" i="2" s="1"/>
  <c r="U46" i="2"/>
  <c r="DQ46" i="2" s="1"/>
  <c r="K46" i="2"/>
  <c r="EB45" i="2"/>
  <c r="EA45" i="2"/>
  <c r="DZ45" i="2"/>
  <c r="DY45" i="2"/>
  <c r="DX45" i="2"/>
  <c r="DW45" i="2"/>
  <c r="DV45" i="2"/>
  <c r="DU45" i="2"/>
  <c r="DT45" i="2"/>
  <c r="DS45" i="2"/>
  <c r="DR45" i="2"/>
  <c r="DP45" i="2"/>
  <c r="DO45" i="2"/>
  <c r="DN45" i="2"/>
  <c r="DL45" i="2"/>
  <c r="DK45" i="2"/>
  <c r="DJ45" i="2"/>
  <c r="DI45" i="2"/>
  <c r="DH45" i="2"/>
  <c r="DF45" i="2"/>
  <c r="CH45" i="2"/>
  <c r="CD45" i="2"/>
  <c r="CC45" i="2"/>
  <c r="CB45" i="2"/>
  <c r="CA45" i="2"/>
  <c r="BZ45" i="2"/>
  <c r="BY45" i="2"/>
  <c r="BX45" i="2"/>
  <c r="BW45" i="2"/>
  <c r="BV45" i="2"/>
  <c r="BU45" i="2"/>
  <c r="BT45" i="2"/>
  <c r="BR45" i="2"/>
  <c r="BQ45" i="2"/>
  <c r="BP45" i="2"/>
  <c r="BN45" i="2"/>
  <c r="BM45" i="2"/>
  <c r="BL45" i="2"/>
  <c r="BK45" i="2"/>
  <c r="BJ45" i="2"/>
  <c r="BH45" i="2"/>
  <c r="AJ45" i="2"/>
  <c r="AH45" i="2" s="1"/>
  <c r="U45" i="2"/>
  <c r="DQ45" i="2" s="1"/>
  <c r="Q45" i="2"/>
  <c r="BO45" i="2" s="1"/>
  <c r="EA44" i="2"/>
  <c r="DY44" i="2"/>
  <c r="DX44" i="2"/>
  <c r="DV44" i="2"/>
  <c r="DU44" i="2"/>
  <c r="DT44" i="2"/>
  <c r="DS44" i="2"/>
  <c r="DR44" i="2"/>
  <c r="DQ44" i="2"/>
  <c r="DP44" i="2"/>
  <c r="DO44" i="2"/>
  <c r="DN44" i="2"/>
  <c r="DM44" i="2"/>
  <c r="DL44" i="2"/>
  <c r="DK44" i="2"/>
  <c r="DJ44" i="2"/>
  <c r="DI44" i="2"/>
  <c r="DH44" i="2"/>
  <c r="DF44" i="2"/>
  <c r="DC44" i="2"/>
  <c r="DA44" i="2"/>
  <c r="DA138" i="2" s="1"/>
  <c r="CX44" i="2"/>
  <c r="DW44" i="2" s="1"/>
  <c r="CH44" i="2"/>
  <c r="DG44" i="2" s="1"/>
  <c r="CC44" i="2"/>
  <c r="CA44" i="2"/>
  <c r="BZ44" i="2"/>
  <c r="BX44" i="2"/>
  <c r="BW44" i="2"/>
  <c r="BV44" i="2"/>
  <c r="BU44" i="2"/>
  <c r="BT44" i="2"/>
  <c r="BS44" i="2"/>
  <c r="BR44" i="2"/>
  <c r="BQ44" i="2"/>
  <c r="BP44" i="2"/>
  <c r="BO44" i="2"/>
  <c r="BN44" i="2"/>
  <c r="BM44" i="2"/>
  <c r="BL44" i="2"/>
  <c r="BK44" i="2"/>
  <c r="BJ44" i="2"/>
  <c r="BH44" i="2"/>
  <c r="BE44" i="2"/>
  <c r="BC44" i="2"/>
  <c r="AZ44" i="2"/>
  <c r="BY44" i="2" s="1"/>
  <c r="AJ44" i="2"/>
  <c r="AF44" i="2"/>
  <c r="AD44" i="2"/>
  <c r="AD138" i="2" s="1"/>
  <c r="EB43" i="2"/>
  <c r="EA43" i="2"/>
  <c r="DZ43" i="2"/>
  <c r="DY43" i="2"/>
  <c r="DX43" i="2"/>
  <c r="DV43" i="2"/>
  <c r="DU43" i="2"/>
  <c r="DT43" i="2"/>
  <c r="DS43" i="2"/>
  <c r="DR43" i="2"/>
  <c r="DQ43" i="2"/>
  <c r="DP43" i="2"/>
  <c r="DO43" i="2"/>
  <c r="DN43" i="2"/>
  <c r="DL43" i="2"/>
  <c r="DK43" i="2"/>
  <c r="DJ43" i="2"/>
  <c r="DI43" i="2"/>
  <c r="DH43" i="2"/>
  <c r="DG43" i="2"/>
  <c r="DF43" i="2"/>
  <c r="CX43" i="2"/>
  <c r="CN43" i="2"/>
  <c r="CD43" i="2"/>
  <c r="CC43" i="2"/>
  <c r="CB43" i="2"/>
  <c r="CA43" i="2"/>
  <c r="BZ43" i="2"/>
  <c r="BX43" i="2"/>
  <c r="BW43" i="2"/>
  <c r="BV43" i="2"/>
  <c r="BU43" i="2"/>
  <c r="BT43" i="2"/>
  <c r="BS43" i="2"/>
  <c r="BR43" i="2"/>
  <c r="BQ43" i="2"/>
  <c r="BP43" i="2"/>
  <c r="BN43" i="2"/>
  <c r="BM43" i="2"/>
  <c r="BL43" i="2"/>
  <c r="BK43" i="2"/>
  <c r="BJ43" i="2"/>
  <c r="BI43" i="2"/>
  <c r="BH43" i="2"/>
  <c r="AZ43" i="2"/>
  <c r="AP43" i="2"/>
  <c r="AA43" i="2"/>
  <c r="Q43" i="2"/>
  <c r="EB42" i="2"/>
  <c r="EA42" i="2"/>
  <c r="DZ42" i="2"/>
  <c r="DY42" i="2"/>
  <c r="DW42" i="2"/>
  <c r="DV42" i="2"/>
  <c r="DU42" i="2"/>
  <c r="DT42" i="2"/>
  <c r="DS42" i="2"/>
  <c r="DR42" i="2"/>
  <c r="DQ42" i="2"/>
  <c r="DP42" i="2"/>
  <c r="DO42" i="2"/>
  <c r="DN42" i="2"/>
  <c r="DL42" i="2"/>
  <c r="DK42" i="2"/>
  <c r="DJ42" i="2"/>
  <c r="DI42" i="2"/>
  <c r="DH42" i="2"/>
  <c r="DG42" i="2"/>
  <c r="DF42" i="2"/>
  <c r="CY42" i="2"/>
  <c r="DX42" i="2" s="1"/>
  <c r="CN42" i="2"/>
  <c r="CD42" i="2"/>
  <c r="CC42" i="2"/>
  <c r="CB42" i="2"/>
  <c r="CA42" i="2"/>
  <c r="BY42" i="2"/>
  <c r="BX42" i="2"/>
  <c r="BW42" i="2"/>
  <c r="BV42" i="2"/>
  <c r="BU42" i="2"/>
  <c r="BT42" i="2"/>
  <c r="BS42" i="2"/>
  <c r="BR42" i="2"/>
  <c r="BQ42" i="2"/>
  <c r="BP42" i="2"/>
  <c r="BN42" i="2"/>
  <c r="BM42" i="2"/>
  <c r="BL42" i="2"/>
  <c r="BK42" i="2"/>
  <c r="BJ42" i="2"/>
  <c r="BI42" i="2"/>
  <c r="BH42" i="2"/>
  <c r="BA42" i="2"/>
  <c r="AP42" i="2"/>
  <c r="BO42" i="2" s="1"/>
  <c r="G42" i="2"/>
  <c r="EE42" i="2" s="1"/>
  <c r="EA41" i="2"/>
  <c r="DZ41" i="2"/>
  <c r="DY41" i="2"/>
  <c r="DX41" i="2"/>
  <c r="DW41" i="2"/>
  <c r="DV41" i="2"/>
  <c r="DU41" i="2"/>
  <c r="DT41" i="2"/>
  <c r="DS41" i="2"/>
  <c r="DR41" i="2"/>
  <c r="DQ41" i="2"/>
  <c r="DP41" i="2"/>
  <c r="DO41" i="2"/>
  <c r="DN41" i="2"/>
  <c r="DL41" i="2"/>
  <c r="DK41" i="2"/>
  <c r="DJ41" i="2"/>
  <c r="DI41" i="2"/>
  <c r="DH41" i="2"/>
  <c r="DG41" i="2"/>
  <c r="DF41" i="2"/>
  <c r="DC41" i="2"/>
  <c r="CN41" i="2"/>
  <c r="CC41" i="2"/>
  <c r="CB41" i="2"/>
  <c r="CA41" i="2"/>
  <c r="BZ41" i="2"/>
  <c r="BY41" i="2"/>
  <c r="BX41" i="2"/>
  <c r="BW41" i="2"/>
  <c r="BV41" i="2"/>
  <c r="BU41" i="2"/>
  <c r="BT41" i="2"/>
  <c r="BS41" i="2"/>
  <c r="BR41" i="2"/>
  <c r="BQ41" i="2"/>
  <c r="BP41" i="2"/>
  <c r="BN41" i="2"/>
  <c r="BM41" i="2"/>
  <c r="BL41" i="2"/>
  <c r="BK41" i="2"/>
  <c r="BJ41" i="2"/>
  <c r="BI41" i="2"/>
  <c r="BH41" i="2"/>
  <c r="BE41" i="2"/>
  <c r="AP41" i="2"/>
  <c r="AF41" i="2"/>
  <c r="Q41" i="2"/>
  <c r="EB40" i="2"/>
  <c r="EA40" i="2"/>
  <c r="DZ40" i="2"/>
  <c r="DY40" i="2"/>
  <c r="DX40" i="2"/>
  <c r="DW40" i="2"/>
  <c r="DV40" i="2"/>
  <c r="DU40" i="2"/>
  <c r="DT40" i="2"/>
  <c r="DS40" i="2"/>
  <c r="DR40" i="2"/>
  <c r="DQ40" i="2"/>
  <c r="DP40" i="2"/>
  <c r="DO40" i="2"/>
  <c r="DN40" i="2"/>
  <c r="DL40" i="2"/>
  <c r="DK40" i="2"/>
  <c r="DJ40" i="2"/>
  <c r="DI40" i="2"/>
  <c r="DH40" i="2"/>
  <c r="DF40" i="2"/>
  <c r="CN40" i="2"/>
  <c r="CH40" i="2"/>
  <c r="DG40" i="2" s="1"/>
  <c r="CD40" i="2"/>
  <c r="CC40" i="2"/>
  <c r="CB40" i="2"/>
  <c r="CA40" i="2"/>
  <c r="BZ40" i="2"/>
  <c r="BY40" i="2"/>
  <c r="BX40" i="2"/>
  <c r="BW40" i="2"/>
  <c r="BV40" i="2"/>
  <c r="BU40" i="2"/>
  <c r="BT40" i="2"/>
  <c r="BS40" i="2"/>
  <c r="BR40" i="2"/>
  <c r="BQ40" i="2"/>
  <c r="BP40" i="2"/>
  <c r="BN40" i="2"/>
  <c r="BM40" i="2"/>
  <c r="BL40" i="2"/>
  <c r="BK40" i="2"/>
  <c r="BJ40" i="2"/>
  <c r="BH40" i="2"/>
  <c r="AP40" i="2"/>
  <c r="AJ40" i="2"/>
  <c r="BI40" i="2" s="1"/>
  <c r="Q40" i="2"/>
  <c r="G40" i="2"/>
  <c r="EE40" i="2" s="1"/>
  <c r="EA39" i="2"/>
  <c r="DZ39" i="2"/>
  <c r="DY39" i="2"/>
  <c r="DX39" i="2"/>
  <c r="DW39" i="2"/>
  <c r="DV39" i="2"/>
  <c r="DU39" i="2"/>
  <c r="DT39" i="2"/>
  <c r="DS39" i="2"/>
  <c r="DR39" i="2"/>
  <c r="DQ39" i="2"/>
  <c r="DP39" i="2"/>
  <c r="DN39" i="2"/>
  <c r="DL39" i="2"/>
  <c r="DK39" i="2"/>
  <c r="DJ39" i="2"/>
  <c r="DI39" i="2"/>
  <c r="DH39" i="2"/>
  <c r="DG39" i="2"/>
  <c r="DF39" i="2"/>
  <c r="DC39" i="2"/>
  <c r="CP39" i="2"/>
  <c r="CN39" i="2"/>
  <c r="CC39" i="2"/>
  <c r="CB39" i="2"/>
  <c r="CA39" i="2"/>
  <c r="BZ39" i="2"/>
  <c r="BY39" i="2"/>
  <c r="BX39" i="2"/>
  <c r="BW39" i="2"/>
  <c r="BV39" i="2"/>
  <c r="BU39" i="2"/>
  <c r="BT39" i="2"/>
  <c r="BS39" i="2"/>
  <c r="BR39" i="2"/>
  <c r="BP39" i="2"/>
  <c r="BN39" i="2"/>
  <c r="BM39" i="2"/>
  <c r="BL39" i="2"/>
  <c r="BK39" i="2"/>
  <c r="BJ39" i="2"/>
  <c r="BI39" i="2"/>
  <c r="BH39" i="2"/>
  <c r="BE39" i="2"/>
  <c r="AR39" i="2"/>
  <c r="AP39" i="2"/>
  <c r="AF39" i="2"/>
  <c r="S39" i="2"/>
  <c r="Q39" i="2"/>
  <c r="H39" i="2"/>
  <c r="EA38" i="2"/>
  <c r="DZ38" i="2"/>
  <c r="DY38" i="2"/>
  <c r="DX38" i="2"/>
  <c r="DW38" i="2"/>
  <c r="DV38" i="2"/>
  <c r="DU38" i="2"/>
  <c r="DT38" i="2"/>
  <c r="DS38" i="2"/>
  <c r="DR38" i="2"/>
  <c r="DQ38" i="2"/>
  <c r="DP38" i="2"/>
  <c r="DO38" i="2"/>
  <c r="DN38" i="2"/>
  <c r="DL38" i="2"/>
  <c r="DK38" i="2"/>
  <c r="DJ38" i="2"/>
  <c r="DI38" i="2"/>
  <c r="DH38" i="2"/>
  <c r="DG38" i="2"/>
  <c r="DF38" i="2"/>
  <c r="DC38" i="2"/>
  <c r="CN38" i="2"/>
  <c r="CC38" i="2"/>
  <c r="CB38" i="2"/>
  <c r="CA38" i="2"/>
  <c r="BZ38" i="2"/>
  <c r="BY38" i="2"/>
  <c r="BX38" i="2"/>
  <c r="BW38" i="2"/>
  <c r="BV38" i="2"/>
  <c r="BU38" i="2"/>
  <c r="BT38" i="2"/>
  <c r="BS38" i="2"/>
  <c r="BR38" i="2"/>
  <c r="BQ38" i="2"/>
  <c r="BP38" i="2"/>
  <c r="BN38" i="2"/>
  <c r="BM38" i="2"/>
  <c r="BL38" i="2"/>
  <c r="BK38" i="2"/>
  <c r="BJ38" i="2"/>
  <c r="BI38" i="2"/>
  <c r="BH38" i="2"/>
  <c r="BE38" i="2"/>
  <c r="AP38" i="2"/>
  <c r="AF38" i="2"/>
  <c r="Q38" i="2"/>
  <c r="H38" i="2"/>
  <c r="EA37" i="2"/>
  <c r="DZ37" i="2"/>
  <c r="DY37" i="2"/>
  <c r="DX37" i="2"/>
  <c r="DV37" i="2"/>
  <c r="DU37" i="2"/>
  <c r="DT37" i="2"/>
  <c r="DS37" i="2"/>
  <c r="DR37" i="2"/>
  <c r="DQ37" i="2"/>
  <c r="DP37" i="2"/>
  <c r="DO37" i="2"/>
  <c r="DN37" i="2"/>
  <c r="DL37" i="2"/>
  <c r="DK37" i="2"/>
  <c r="DJ37" i="2"/>
  <c r="DI37" i="2"/>
  <c r="DH37" i="2"/>
  <c r="DG37" i="2"/>
  <c r="DF37" i="2"/>
  <c r="DC37" i="2"/>
  <c r="CX37" i="2"/>
  <c r="CN37" i="2"/>
  <c r="CC37" i="2"/>
  <c r="CB37" i="2"/>
  <c r="CA37" i="2"/>
  <c r="BZ37" i="2"/>
  <c r="BX37" i="2"/>
  <c r="BW37" i="2"/>
  <c r="BV37" i="2"/>
  <c r="BU37" i="2"/>
  <c r="BT37" i="2"/>
  <c r="BS37" i="2"/>
  <c r="BR37" i="2"/>
  <c r="BQ37" i="2"/>
  <c r="BP37" i="2"/>
  <c r="BN37" i="2"/>
  <c r="BM37" i="2"/>
  <c r="BL37" i="2"/>
  <c r="BK37" i="2"/>
  <c r="BJ37" i="2"/>
  <c r="BI37" i="2"/>
  <c r="BH37" i="2"/>
  <c r="BE37" i="2"/>
  <c r="AZ37" i="2"/>
  <c r="AP37" i="2"/>
  <c r="AF37" i="2"/>
  <c r="AA37" i="2"/>
  <c r="Q37" i="2"/>
  <c r="EA36" i="2"/>
  <c r="DZ36" i="2"/>
  <c r="DY36" i="2"/>
  <c r="DX36" i="2"/>
  <c r="DW36" i="2"/>
  <c r="DV36" i="2"/>
  <c r="DU36" i="2"/>
  <c r="DT36" i="2"/>
  <c r="DS36" i="2"/>
  <c r="DR36" i="2"/>
  <c r="DQ36" i="2"/>
  <c r="DP36" i="2"/>
  <c r="DO36" i="2"/>
  <c r="DN36" i="2"/>
  <c r="DL36" i="2"/>
  <c r="DK36" i="2"/>
  <c r="DJ36" i="2"/>
  <c r="DI36" i="2"/>
  <c r="DH36" i="2"/>
  <c r="DF36" i="2"/>
  <c r="DC36" i="2"/>
  <c r="CN36" i="2"/>
  <c r="CH36" i="2"/>
  <c r="CC36" i="2"/>
  <c r="CB36" i="2"/>
  <c r="CA36" i="2"/>
  <c r="BZ36" i="2"/>
  <c r="BY36" i="2"/>
  <c r="BX36" i="2"/>
  <c r="BW36" i="2"/>
  <c r="BV36" i="2"/>
  <c r="BU36" i="2"/>
  <c r="BT36" i="2"/>
  <c r="BS36" i="2"/>
  <c r="BR36" i="2"/>
  <c r="BQ36" i="2"/>
  <c r="BP36" i="2"/>
  <c r="BN36" i="2"/>
  <c r="BM36" i="2"/>
  <c r="BL36" i="2"/>
  <c r="BK36" i="2"/>
  <c r="BJ36" i="2"/>
  <c r="BH36" i="2"/>
  <c r="BE36" i="2"/>
  <c r="AP36" i="2"/>
  <c r="AJ36" i="2"/>
  <c r="BI36" i="2" s="1"/>
  <c r="AF36" i="2"/>
  <c r="Q36" i="2"/>
  <c r="EA35" i="2"/>
  <c r="DZ35" i="2"/>
  <c r="DY35" i="2"/>
  <c r="DW35" i="2"/>
  <c r="DV35" i="2"/>
  <c r="DU35" i="2"/>
  <c r="DT35" i="2"/>
  <c r="DS35" i="2"/>
  <c r="DR35" i="2"/>
  <c r="DQ35" i="2"/>
  <c r="DP35" i="2"/>
  <c r="DO35" i="2"/>
  <c r="DN35" i="2"/>
  <c r="DL35" i="2"/>
  <c r="DK35" i="2"/>
  <c r="DJ35" i="2"/>
  <c r="DI35" i="2"/>
  <c r="DH35" i="2"/>
  <c r="DG35" i="2"/>
  <c r="DF35" i="2"/>
  <c r="DC35" i="2"/>
  <c r="CY35" i="2"/>
  <c r="DX35" i="2" s="1"/>
  <c r="CN35" i="2"/>
  <c r="CC35" i="2"/>
  <c r="CB35" i="2"/>
  <c r="CA35" i="2"/>
  <c r="BY35" i="2"/>
  <c r="BX35" i="2"/>
  <c r="BW35" i="2"/>
  <c r="BV35" i="2"/>
  <c r="BU35" i="2"/>
  <c r="BT35" i="2"/>
  <c r="BS35" i="2"/>
  <c r="BR35" i="2"/>
  <c r="BQ35" i="2"/>
  <c r="BP35" i="2"/>
  <c r="BN35" i="2"/>
  <c r="BM35" i="2"/>
  <c r="BL35" i="2"/>
  <c r="BK35" i="2"/>
  <c r="BJ35" i="2"/>
  <c r="BI35" i="2"/>
  <c r="BH35" i="2"/>
  <c r="BE35" i="2"/>
  <c r="BA35" i="2"/>
  <c r="AP35" i="2"/>
  <c r="AF35" i="2"/>
  <c r="Q35" i="2"/>
  <c r="EA34" i="2"/>
  <c r="DZ34" i="2"/>
  <c r="DY34" i="2"/>
  <c r="DX34" i="2"/>
  <c r="DW34" i="2"/>
  <c r="DV34" i="2"/>
  <c r="DU34" i="2"/>
  <c r="DT34" i="2"/>
  <c r="DS34" i="2"/>
  <c r="DR34" i="2"/>
  <c r="DQ34" i="2"/>
  <c r="DP34" i="2"/>
  <c r="DO34" i="2"/>
  <c r="DN34" i="2"/>
  <c r="DL34" i="2"/>
  <c r="DK34" i="2"/>
  <c r="DJ34" i="2"/>
  <c r="DI34" i="2"/>
  <c r="DH34" i="2"/>
  <c r="DG34" i="2"/>
  <c r="DF34" i="2"/>
  <c r="DC34" i="2"/>
  <c r="CN34" i="2"/>
  <c r="CC34" i="2"/>
  <c r="CB34" i="2"/>
  <c r="CA34" i="2"/>
  <c r="BZ34" i="2"/>
  <c r="BY34" i="2"/>
  <c r="BX34" i="2"/>
  <c r="BW34" i="2"/>
  <c r="BV34" i="2"/>
  <c r="BU34" i="2"/>
  <c r="BT34" i="2"/>
  <c r="BS34" i="2"/>
  <c r="BR34" i="2"/>
  <c r="BQ34" i="2"/>
  <c r="BP34" i="2"/>
  <c r="BN34" i="2"/>
  <c r="BM34" i="2"/>
  <c r="BL34" i="2"/>
  <c r="BK34" i="2"/>
  <c r="BJ34" i="2"/>
  <c r="BI34" i="2"/>
  <c r="BH34" i="2"/>
  <c r="BE34" i="2"/>
  <c r="AP34" i="2"/>
  <c r="AF34" i="2"/>
  <c r="Q34" i="2"/>
  <c r="EB33" i="2"/>
  <c r="EA33" i="2"/>
  <c r="DZ33" i="2"/>
  <c r="DY33" i="2"/>
  <c r="DX33" i="2"/>
  <c r="DW33" i="2"/>
  <c r="DV33" i="2"/>
  <c r="DU33" i="2"/>
  <c r="DT33" i="2"/>
  <c r="DS33" i="2"/>
  <c r="DR33" i="2"/>
  <c r="DQ33" i="2"/>
  <c r="DP33" i="2"/>
  <c r="DO33" i="2"/>
  <c r="DN33" i="2"/>
  <c r="DL33" i="2"/>
  <c r="DK33" i="2"/>
  <c r="DJ33" i="2"/>
  <c r="DI33" i="2"/>
  <c r="DH33" i="2"/>
  <c r="DG33" i="2"/>
  <c r="DF33" i="2"/>
  <c r="CN33" i="2"/>
  <c r="CF33" i="2" s="1"/>
  <c r="EF33" i="2" s="1"/>
  <c r="CD33" i="2"/>
  <c r="CC33" i="2"/>
  <c r="CB33" i="2"/>
  <c r="CA33" i="2"/>
  <c r="BZ33" i="2"/>
  <c r="BY33" i="2"/>
  <c r="BX33" i="2"/>
  <c r="BW33" i="2"/>
  <c r="BV33" i="2"/>
  <c r="BU33" i="2"/>
  <c r="BT33" i="2"/>
  <c r="BS33" i="2"/>
  <c r="BR33" i="2"/>
  <c r="BQ33" i="2"/>
  <c r="BP33" i="2"/>
  <c r="BN33" i="2"/>
  <c r="BM33" i="2"/>
  <c r="BL33" i="2"/>
  <c r="BK33" i="2"/>
  <c r="BJ33" i="2"/>
  <c r="BI33" i="2"/>
  <c r="BH33" i="2"/>
  <c r="AP33" i="2"/>
  <c r="Q33" i="2"/>
  <c r="G33" i="2" s="1"/>
  <c r="EB32" i="2"/>
  <c r="EA32" i="2"/>
  <c r="DZ32" i="2"/>
  <c r="DY32" i="2"/>
  <c r="DX32" i="2"/>
  <c r="DW32" i="2"/>
  <c r="DV32" i="2"/>
  <c r="DU32" i="2"/>
  <c r="DT32" i="2"/>
  <c r="DS32" i="2"/>
  <c r="DR32" i="2"/>
  <c r="DQ32" i="2"/>
  <c r="DP32" i="2"/>
  <c r="DO32" i="2"/>
  <c r="DN32" i="2"/>
  <c r="DL32" i="2"/>
  <c r="DK32" i="2"/>
  <c r="DJ32" i="2"/>
  <c r="DI32" i="2"/>
  <c r="DH32" i="2"/>
  <c r="DG32" i="2"/>
  <c r="DF32" i="2"/>
  <c r="CN32" i="2"/>
  <c r="CD32" i="2"/>
  <c r="CC32" i="2"/>
  <c r="CB32" i="2"/>
  <c r="CA32" i="2"/>
  <c r="BZ32" i="2"/>
  <c r="BY32" i="2"/>
  <c r="BX32" i="2"/>
  <c r="BW32" i="2"/>
  <c r="BV32" i="2"/>
  <c r="BU32" i="2"/>
  <c r="BT32" i="2"/>
  <c r="BS32" i="2"/>
  <c r="BR32" i="2"/>
  <c r="BQ32" i="2"/>
  <c r="BP32" i="2"/>
  <c r="BN32" i="2"/>
  <c r="BM32" i="2"/>
  <c r="BL32" i="2"/>
  <c r="BK32" i="2"/>
  <c r="BJ32" i="2"/>
  <c r="BI32" i="2"/>
  <c r="BH32" i="2"/>
  <c r="AP32" i="2"/>
  <c r="G32" i="2"/>
  <c r="EE32" i="2" s="1"/>
  <c r="EB31" i="2"/>
  <c r="EA31" i="2"/>
  <c r="DZ31" i="2"/>
  <c r="DY31" i="2"/>
  <c r="DX31" i="2"/>
  <c r="DW31" i="2"/>
  <c r="DV31" i="2"/>
  <c r="DU31" i="2"/>
  <c r="DT31" i="2"/>
  <c r="DS31" i="2"/>
  <c r="DR31" i="2"/>
  <c r="DQ31" i="2"/>
  <c r="DP31" i="2"/>
  <c r="DO31" i="2"/>
  <c r="DN31" i="2"/>
  <c r="DL31" i="2"/>
  <c r="DK31" i="2"/>
  <c r="DJ31" i="2"/>
  <c r="DI31" i="2"/>
  <c r="DH31" i="2"/>
  <c r="DG31" i="2"/>
  <c r="DF31" i="2"/>
  <c r="CN31" i="2"/>
  <c r="CF31" i="2" s="1"/>
  <c r="EF31" i="2" s="1"/>
  <c r="CD31" i="2"/>
  <c r="CC31" i="2"/>
  <c r="CB31" i="2"/>
  <c r="CA31" i="2"/>
  <c r="BZ31" i="2"/>
  <c r="BY31" i="2"/>
  <c r="BX31" i="2"/>
  <c r="BW31" i="2"/>
  <c r="BV31" i="2"/>
  <c r="BU31" i="2"/>
  <c r="BT31" i="2"/>
  <c r="BS31" i="2"/>
  <c r="BR31" i="2"/>
  <c r="BQ31" i="2"/>
  <c r="BP31" i="2"/>
  <c r="BN31" i="2"/>
  <c r="BM31" i="2"/>
  <c r="BL31" i="2"/>
  <c r="BK31" i="2"/>
  <c r="BJ31" i="2"/>
  <c r="BI31" i="2"/>
  <c r="BH31" i="2"/>
  <c r="AP31" i="2"/>
  <c r="AH31" i="2" s="1"/>
  <c r="Q31" i="2"/>
  <c r="G31" i="2" s="1"/>
  <c r="EE31" i="2" s="1"/>
  <c r="EB30" i="2"/>
  <c r="EA30" i="2"/>
  <c r="DZ30" i="2"/>
  <c r="DY30" i="2"/>
  <c r="DW30" i="2"/>
  <c r="DV30" i="2"/>
  <c r="DU30" i="2"/>
  <c r="DT30" i="2"/>
  <c r="DS30" i="2"/>
  <c r="DR30" i="2"/>
  <c r="DQ30" i="2"/>
  <c r="DO30" i="2"/>
  <c r="DL30" i="2"/>
  <c r="DK30" i="2"/>
  <c r="DJ30" i="2"/>
  <c r="DI30" i="2"/>
  <c r="DH30" i="2"/>
  <c r="DG30" i="2"/>
  <c r="DF30" i="2"/>
  <c r="CY30" i="2"/>
  <c r="CQ30" i="2"/>
  <c r="DP30" i="2" s="1"/>
  <c r="CO30" i="2"/>
  <c r="CN30" i="2"/>
  <c r="CD30" i="2"/>
  <c r="CC30" i="2"/>
  <c r="CB30" i="2"/>
  <c r="CA30" i="2"/>
  <c r="BY30" i="2"/>
  <c r="BX30" i="2"/>
  <c r="BW30" i="2"/>
  <c r="BV30" i="2"/>
  <c r="BU30" i="2"/>
  <c r="BT30" i="2"/>
  <c r="BS30" i="2"/>
  <c r="BQ30" i="2"/>
  <c r="BN30" i="2"/>
  <c r="BM30" i="2"/>
  <c r="BL30" i="2"/>
  <c r="BK30" i="2"/>
  <c r="BJ30" i="2"/>
  <c r="BI30" i="2"/>
  <c r="BH30" i="2"/>
  <c r="BA30" i="2"/>
  <c r="AS30" i="2"/>
  <c r="BR30" i="2" s="1"/>
  <c r="AQ30" i="2"/>
  <c r="AP30" i="2"/>
  <c r="R30" i="2"/>
  <c r="Q30" i="2"/>
  <c r="EB29" i="2"/>
  <c r="EA29" i="2"/>
  <c r="DZ29" i="2"/>
  <c r="DY29" i="2"/>
  <c r="DX29" i="2"/>
  <c r="DW29" i="2"/>
  <c r="DV29" i="2"/>
  <c r="DU29" i="2"/>
  <c r="DT29" i="2"/>
  <c r="DS29" i="2"/>
  <c r="DR29" i="2"/>
  <c r="DQ29" i="2"/>
  <c r="DP29" i="2"/>
  <c r="DO29" i="2"/>
  <c r="DN29" i="2"/>
  <c r="DL29" i="2"/>
  <c r="DK29" i="2"/>
  <c r="DJ29" i="2"/>
  <c r="DI29" i="2"/>
  <c r="DH29" i="2"/>
  <c r="DG29" i="2"/>
  <c r="DF29" i="2"/>
  <c r="CN29" i="2"/>
  <c r="CF29" i="2" s="1"/>
  <c r="EF29" i="2" s="1"/>
  <c r="CD29" i="2"/>
  <c r="CC29" i="2"/>
  <c r="CB29" i="2"/>
  <c r="CA29" i="2"/>
  <c r="BZ29" i="2"/>
  <c r="BY29" i="2"/>
  <c r="BX29" i="2"/>
  <c r="BW29" i="2"/>
  <c r="BV29" i="2"/>
  <c r="BU29" i="2"/>
  <c r="BT29" i="2"/>
  <c r="BS29" i="2"/>
  <c r="BR29" i="2"/>
  <c r="BQ29" i="2"/>
  <c r="BP29" i="2"/>
  <c r="BN29" i="2"/>
  <c r="BM29" i="2"/>
  <c r="BL29" i="2"/>
  <c r="BK29" i="2"/>
  <c r="BJ29" i="2"/>
  <c r="BI29" i="2"/>
  <c r="BH29" i="2"/>
  <c r="AP29" i="2"/>
  <c r="AH29" i="2" s="1"/>
  <c r="Q29" i="2"/>
  <c r="EA28" i="2"/>
  <c r="DZ28" i="2"/>
  <c r="DY28" i="2"/>
  <c r="DX28" i="2"/>
  <c r="DW28" i="2"/>
  <c r="DV28" i="2"/>
  <c r="DU28" i="2"/>
  <c r="DS28" i="2"/>
  <c r="DR28" i="2"/>
  <c r="DQ28" i="2"/>
  <c r="DL28" i="2"/>
  <c r="DK28" i="2"/>
  <c r="DJ28" i="2"/>
  <c r="DI28" i="2"/>
  <c r="DH28" i="2"/>
  <c r="DG28" i="2"/>
  <c r="DF28" i="2"/>
  <c r="DC28" i="2"/>
  <c r="CU28" i="2"/>
  <c r="CQ28" i="2"/>
  <c r="DP28" i="2" s="1"/>
  <c r="CP28" i="2"/>
  <c r="CO28" i="2"/>
  <c r="CN28" i="2"/>
  <c r="CC28" i="2"/>
  <c r="CB28" i="2"/>
  <c r="CA28" i="2"/>
  <c r="BZ28" i="2"/>
  <c r="BY28" i="2"/>
  <c r="BX28" i="2"/>
  <c r="BW28" i="2"/>
  <c r="BU28" i="2"/>
  <c r="BT28" i="2"/>
  <c r="BS28" i="2"/>
  <c r="BN28" i="2"/>
  <c r="BM28" i="2"/>
  <c r="BL28" i="2"/>
  <c r="BK28" i="2"/>
  <c r="BJ28" i="2"/>
  <c r="BI28" i="2"/>
  <c r="BH28" i="2"/>
  <c r="BE28" i="2"/>
  <c r="AW28" i="2"/>
  <c r="AS28" i="2"/>
  <c r="BR28" i="2" s="1"/>
  <c r="AR28" i="2"/>
  <c r="AQ28" i="2"/>
  <c r="AP28" i="2"/>
  <c r="AF28" i="2"/>
  <c r="X28" i="2"/>
  <c r="S28" i="2"/>
  <c r="R28" i="2"/>
  <c r="Q28" i="2"/>
  <c r="EB27" i="2"/>
  <c r="EA27" i="2"/>
  <c r="DZ27" i="2"/>
  <c r="DY27" i="2"/>
  <c r="DX27" i="2"/>
  <c r="DW27" i="2"/>
  <c r="DV27" i="2"/>
  <c r="DU27" i="2"/>
  <c r="DT27" i="2"/>
  <c r="DS27" i="2"/>
  <c r="DR27" i="2"/>
  <c r="DQ27" i="2"/>
  <c r="DP27" i="2"/>
  <c r="DO27" i="2"/>
  <c r="DN27" i="2"/>
  <c r="DL27" i="2"/>
  <c r="DK27" i="2"/>
  <c r="DJ27" i="2"/>
  <c r="DI27" i="2"/>
  <c r="DH27" i="2"/>
  <c r="DF27" i="2"/>
  <c r="CN27" i="2"/>
  <c r="CH27" i="2"/>
  <c r="DG27" i="2" s="1"/>
  <c r="CD27" i="2"/>
  <c r="CC27" i="2"/>
  <c r="CB27" i="2"/>
  <c r="CA27" i="2"/>
  <c r="BZ27" i="2"/>
  <c r="BY27" i="2"/>
  <c r="BX27" i="2"/>
  <c r="BW27" i="2"/>
  <c r="BV27" i="2"/>
  <c r="BU27" i="2"/>
  <c r="BT27" i="2"/>
  <c r="BS27" i="2"/>
  <c r="BR27" i="2"/>
  <c r="BQ27" i="2"/>
  <c r="BP27" i="2"/>
  <c r="BN27" i="2"/>
  <c r="BM27" i="2"/>
  <c r="BL27" i="2"/>
  <c r="BK27" i="2"/>
  <c r="BJ27" i="2"/>
  <c r="BH27" i="2"/>
  <c r="AJ27" i="2"/>
  <c r="Q27" i="2"/>
  <c r="BO27" i="2" s="1"/>
  <c r="EB26" i="2"/>
  <c r="EA26" i="2"/>
  <c r="DZ26" i="2"/>
  <c r="DY26" i="2"/>
  <c r="DX26" i="2"/>
  <c r="DW26" i="2"/>
  <c r="DV26" i="2"/>
  <c r="DU26" i="2"/>
  <c r="DS26" i="2"/>
  <c r="DR26" i="2"/>
  <c r="DQ26" i="2"/>
  <c r="DL26" i="2"/>
  <c r="DK26" i="2"/>
  <c r="DJ26" i="2"/>
  <c r="DI26" i="2"/>
  <c r="DH26" i="2"/>
  <c r="DG26" i="2"/>
  <c r="DF26" i="2"/>
  <c r="CU26" i="2"/>
  <c r="CQ26" i="2"/>
  <c r="DP26" i="2" s="1"/>
  <c r="CP26" i="2"/>
  <c r="CO26" i="2"/>
  <c r="CN26" i="2"/>
  <c r="CD26" i="2"/>
  <c r="CC26" i="2"/>
  <c r="CB26" i="2"/>
  <c r="CA26" i="2"/>
  <c r="BZ26" i="2"/>
  <c r="BY26" i="2"/>
  <c r="BX26" i="2"/>
  <c r="BW26" i="2"/>
  <c r="BU26" i="2"/>
  <c r="BT26" i="2"/>
  <c r="BS26" i="2"/>
  <c r="BN26" i="2"/>
  <c r="BM26" i="2"/>
  <c r="BL26" i="2"/>
  <c r="BK26" i="2"/>
  <c r="BJ26" i="2"/>
  <c r="BI26" i="2"/>
  <c r="BH26" i="2"/>
  <c r="AW26" i="2"/>
  <c r="AS26" i="2"/>
  <c r="BR26" i="2" s="1"/>
  <c r="AR26" i="2"/>
  <c r="AQ26" i="2"/>
  <c r="AP26" i="2"/>
  <c r="X26" i="2"/>
  <c r="X138" i="2" s="1"/>
  <c r="S26" i="2"/>
  <c r="R26" i="2"/>
  <c r="Q26" i="2"/>
  <c r="DB25" i="2"/>
  <c r="DA25" i="2"/>
  <c r="CZ25" i="2"/>
  <c r="CX25" i="2"/>
  <c r="CV25" i="2"/>
  <c r="CU25" i="2"/>
  <c r="CT25" i="2"/>
  <c r="CS25" i="2"/>
  <c r="CQ25" i="2"/>
  <c r="CP25" i="2"/>
  <c r="CO25" i="2"/>
  <c r="CN25" i="2"/>
  <c r="CM25" i="2"/>
  <c r="CL25" i="2"/>
  <c r="CK25" i="2"/>
  <c r="CI25" i="2"/>
  <c r="CG25" i="2"/>
  <c r="BD25" i="2"/>
  <c r="BC25" i="2"/>
  <c r="BB25" i="2"/>
  <c r="AZ25" i="2"/>
  <c r="AX25" i="2"/>
  <c r="AW25" i="2"/>
  <c r="AV25" i="2"/>
  <c r="AU25" i="2"/>
  <c r="AS25" i="2"/>
  <c r="AR25" i="2"/>
  <c r="AQ25" i="2"/>
  <c r="AP25" i="2"/>
  <c r="AO25" i="2"/>
  <c r="AN25" i="2"/>
  <c r="AM25" i="2"/>
  <c r="AK25" i="2"/>
  <c r="AI25" i="2"/>
  <c r="AD25" i="2"/>
  <c r="AC25" i="2"/>
  <c r="Z25" i="2"/>
  <c r="Y25" i="2"/>
  <c r="X25" i="2"/>
  <c r="W25" i="2"/>
  <c r="V25" i="2"/>
  <c r="T25" i="2"/>
  <c r="S25" i="2"/>
  <c r="R25" i="2"/>
  <c r="Q25" i="2"/>
  <c r="P25" i="2"/>
  <c r="O25" i="2"/>
  <c r="N25" i="2"/>
  <c r="L25" i="2"/>
  <c r="J25" i="2"/>
  <c r="H25" i="2"/>
  <c r="EB24" i="2"/>
  <c r="EA24" i="2"/>
  <c r="DZ24" i="2"/>
  <c r="DY24" i="2"/>
  <c r="DX24" i="2"/>
  <c r="DW24" i="2"/>
  <c r="DU24" i="2"/>
  <c r="DT24" i="2"/>
  <c r="DS24" i="2"/>
  <c r="DR24" i="2"/>
  <c r="DP24" i="2"/>
  <c r="DO24" i="2"/>
  <c r="DN24" i="2"/>
  <c r="DM24" i="2"/>
  <c r="DL24" i="2"/>
  <c r="DK24" i="2"/>
  <c r="DJ24" i="2"/>
  <c r="DI24" i="2"/>
  <c r="DH24" i="2"/>
  <c r="DF24" i="2"/>
  <c r="CW24" i="2"/>
  <c r="DV24" i="2" s="1"/>
  <c r="CR24" i="2"/>
  <c r="CH24" i="2"/>
  <c r="DG24" i="2" s="1"/>
  <c r="CD24" i="2"/>
  <c r="CC24" i="2"/>
  <c r="CB24" i="2"/>
  <c r="CA24" i="2"/>
  <c r="BZ24" i="2"/>
  <c r="BY24" i="2"/>
  <c r="BW24" i="2"/>
  <c r="BV24" i="2"/>
  <c r="BU24" i="2"/>
  <c r="BT24" i="2"/>
  <c r="BR24" i="2"/>
  <c r="BQ24" i="2"/>
  <c r="BP24" i="2"/>
  <c r="BO24" i="2"/>
  <c r="BN24" i="2"/>
  <c r="BM24" i="2"/>
  <c r="BL24" i="2"/>
  <c r="BK24" i="2"/>
  <c r="BJ24" i="2"/>
  <c r="BH24" i="2"/>
  <c r="AY24" i="2"/>
  <c r="BX24" i="2" s="1"/>
  <c r="AT24" i="2"/>
  <c r="AT139" i="2" s="1"/>
  <c r="AJ24" i="2"/>
  <c r="G24" i="2"/>
  <c r="EE24" i="2" s="1"/>
  <c r="EA23" i="2"/>
  <c r="DZ23" i="2"/>
  <c r="DY23" i="2"/>
  <c r="DX23" i="2"/>
  <c r="DW23" i="2"/>
  <c r="DV23" i="2"/>
  <c r="DU23" i="2"/>
  <c r="DT23" i="2"/>
  <c r="DS23" i="2"/>
  <c r="DR23" i="2"/>
  <c r="DQ23" i="2"/>
  <c r="DP23" i="2"/>
  <c r="DO23" i="2"/>
  <c r="DN23" i="2"/>
  <c r="DM23" i="2"/>
  <c r="DL23" i="2"/>
  <c r="DK23" i="2"/>
  <c r="DJ23" i="2"/>
  <c r="DI23" i="2"/>
  <c r="DH23" i="2"/>
  <c r="DF23" i="2"/>
  <c r="DC23" i="2"/>
  <c r="CH23" i="2"/>
  <c r="CC23" i="2"/>
  <c r="CB23" i="2"/>
  <c r="CA23" i="2"/>
  <c r="BZ23" i="2"/>
  <c r="BY23" i="2"/>
  <c r="BX23" i="2"/>
  <c r="BW23" i="2"/>
  <c r="BV23" i="2"/>
  <c r="BU23" i="2"/>
  <c r="BT23" i="2"/>
  <c r="BS23" i="2"/>
  <c r="BR23" i="2"/>
  <c r="BQ23" i="2"/>
  <c r="BP23" i="2"/>
  <c r="BO23" i="2"/>
  <c r="BN23" i="2"/>
  <c r="BM23" i="2"/>
  <c r="BL23" i="2"/>
  <c r="BK23" i="2"/>
  <c r="BJ23" i="2"/>
  <c r="BH23" i="2"/>
  <c r="BE23" i="2"/>
  <c r="AJ23" i="2"/>
  <c r="AF23" i="2"/>
  <c r="K23" i="2"/>
  <c r="EB22" i="2"/>
  <c r="EA22" i="2"/>
  <c r="DZ22" i="2"/>
  <c r="DY22" i="2"/>
  <c r="DX22" i="2"/>
  <c r="DW22" i="2"/>
  <c r="DU22" i="2"/>
  <c r="DT22" i="2"/>
  <c r="DS22" i="2"/>
  <c r="DR22" i="2"/>
  <c r="DQ22" i="2"/>
  <c r="DP22" i="2"/>
  <c r="DO22" i="2"/>
  <c r="DN22" i="2"/>
  <c r="DM22" i="2"/>
  <c r="DL22" i="2"/>
  <c r="DK22" i="2"/>
  <c r="DJ22" i="2"/>
  <c r="DI22" i="2"/>
  <c r="DH22" i="2"/>
  <c r="DG22" i="2"/>
  <c r="DF22" i="2"/>
  <c r="CW22" i="2"/>
  <c r="CF22" i="2" s="1"/>
  <c r="CD22" i="2"/>
  <c r="CC22" i="2"/>
  <c r="CB22" i="2"/>
  <c r="CA22" i="2"/>
  <c r="BZ22" i="2"/>
  <c r="BY22" i="2"/>
  <c r="BW22" i="2"/>
  <c r="BV22" i="2"/>
  <c r="BU22" i="2"/>
  <c r="BT22" i="2"/>
  <c r="BS22" i="2"/>
  <c r="BR22" i="2"/>
  <c r="BQ22" i="2"/>
  <c r="BP22" i="2"/>
  <c r="BO22" i="2"/>
  <c r="BN22" i="2"/>
  <c r="BM22" i="2"/>
  <c r="BL22" i="2"/>
  <c r="BK22" i="2"/>
  <c r="BJ22" i="2"/>
  <c r="BI22" i="2"/>
  <c r="BH22" i="2"/>
  <c r="AY22" i="2"/>
  <c r="BX22" i="2" s="1"/>
  <c r="G22" i="2"/>
  <c r="I22" i="2" s="1"/>
  <c r="EB21" i="2"/>
  <c r="EA21" i="2"/>
  <c r="DZ21" i="2"/>
  <c r="DY21" i="2"/>
  <c r="DX21" i="2"/>
  <c r="DW21" i="2"/>
  <c r="DV21" i="2"/>
  <c r="DU21" i="2"/>
  <c r="DT21" i="2"/>
  <c r="DS21" i="2"/>
  <c r="DR21" i="2"/>
  <c r="DQ21" i="2"/>
  <c r="DP21" i="2"/>
  <c r="DO21" i="2"/>
  <c r="DN21" i="2"/>
  <c r="DM21" i="2"/>
  <c r="DL21" i="2"/>
  <c r="DK21" i="2"/>
  <c r="DJ21" i="2"/>
  <c r="DI21" i="2"/>
  <c r="DH21" i="2"/>
  <c r="DG21" i="2"/>
  <c r="DF21" i="2"/>
  <c r="CF21" i="2"/>
  <c r="CD21" i="2"/>
  <c r="CC21" i="2"/>
  <c r="CB21" i="2"/>
  <c r="CA21" i="2"/>
  <c r="BZ21" i="2"/>
  <c r="BY21" i="2"/>
  <c r="BX21" i="2"/>
  <c r="BW21" i="2"/>
  <c r="BV21" i="2"/>
  <c r="BU21" i="2"/>
  <c r="BT21" i="2"/>
  <c r="BS21" i="2"/>
  <c r="BR21" i="2"/>
  <c r="BQ21" i="2"/>
  <c r="BP21" i="2"/>
  <c r="BO21" i="2"/>
  <c r="BN21" i="2"/>
  <c r="BM21" i="2"/>
  <c r="BL21" i="2"/>
  <c r="BK21" i="2"/>
  <c r="BJ21" i="2"/>
  <c r="BI21" i="2"/>
  <c r="BH21" i="2"/>
  <c r="AH21" i="2"/>
  <c r="G21" i="2"/>
  <c r="EB20" i="2"/>
  <c r="EA20" i="2"/>
  <c r="DZ20" i="2"/>
  <c r="DY20" i="2"/>
  <c r="DX20" i="2"/>
  <c r="DW20" i="2"/>
  <c r="DU20" i="2"/>
  <c r="DT20" i="2"/>
  <c r="DS20" i="2"/>
  <c r="DR20" i="2"/>
  <c r="DQ20" i="2"/>
  <c r="DP20" i="2"/>
  <c r="DO20" i="2"/>
  <c r="DN20" i="2"/>
  <c r="DM20" i="2"/>
  <c r="DL20" i="2"/>
  <c r="DK20" i="2"/>
  <c r="DJ20" i="2"/>
  <c r="DI20" i="2"/>
  <c r="DH20" i="2"/>
  <c r="DG20" i="2"/>
  <c r="DF20" i="2"/>
  <c r="CW20" i="2"/>
  <c r="DV20" i="2" s="1"/>
  <c r="CD20" i="2"/>
  <c r="CC20" i="2"/>
  <c r="CB20" i="2"/>
  <c r="CA20" i="2"/>
  <c r="BZ20" i="2"/>
  <c r="BY20" i="2"/>
  <c r="BW20" i="2"/>
  <c r="BV20" i="2"/>
  <c r="BU20" i="2"/>
  <c r="BT20" i="2"/>
  <c r="BS20" i="2"/>
  <c r="BR20" i="2"/>
  <c r="BQ20" i="2"/>
  <c r="BP20" i="2"/>
  <c r="BO20" i="2"/>
  <c r="BN20" i="2"/>
  <c r="BM20" i="2"/>
  <c r="BL20" i="2"/>
  <c r="BK20" i="2"/>
  <c r="BJ20" i="2"/>
  <c r="BI20" i="2"/>
  <c r="BH20" i="2"/>
  <c r="AY20" i="2"/>
  <c r="BX20" i="2" s="1"/>
  <c r="G20" i="2"/>
  <c r="I20" i="2" s="1"/>
  <c r="EB19" i="2"/>
  <c r="EA19" i="2"/>
  <c r="DZ19" i="2"/>
  <c r="DY19" i="2"/>
  <c r="DX19" i="2"/>
  <c r="DW19" i="2"/>
  <c r="DV19" i="2"/>
  <c r="DU19" i="2"/>
  <c r="DT19" i="2"/>
  <c r="DS19" i="2"/>
  <c r="DR19" i="2"/>
  <c r="DP19" i="2"/>
  <c r="DO19" i="2"/>
  <c r="DN19" i="2"/>
  <c r="DM19" i="2"/>
  <c r="DL19" i="2"/>
  <c r="DK19" i="2"/>
  <c r="DJ19" i="2"/>
  <c r="DI19" i="2"/>
  <c r="DH19" i="2"/>
  <c r="DG19" i="2"/>
  <c r="DF19" i="2"/>
  <c r="CF19" i="2"/>
  <c r="CD19" i="2"/>
  <c r="CC19" i="2"/>
  <c r="CB19" i="2"/>
  <c r="CA19" i="2"/>
  <c r="BZ19" i="2"/>
  <c r="BY19" i="2"/>
  <c r="BX19" i="2"/>
  <c r="BW19" i="2"/>
  <c r="BV19" i="2"/>
  <c r="BU19" i="2"/>
  <c r="BT19" i="2"/>
  <c r="BR19" i="2"/>
  <c r="BQ19" i="2"/>
  <c r="BP19" i="2"/>
  <c r="BO19" i="2"/>
  <c r="BN19" i="2"/>
  <c r="BM19" i="2"/>
  <c r="BL19" i="2"/>
  <c r="BK19" i="2"/>
  <c r="BJ19" i="2"/>
  <c r="BI19" i="2"/>
  <c r="BH19" i="2"/>
  <c r="AH19" i="2"/>
  <c r="U19" i="2"/>
  <c r="EA18" i="2"/>
  <c r="DZ18" i="2"/>
  <c r="DY18" i="2"/>
  <c r="DW18" i="2"/>
  <c r="DU18" i="2"/>
  <c r="DT18" i="2"/>
  <c r="DS18" i="2"/>
  <c r="DR18" i="2"/>
  <c r="DQ18" i="2"/>
  <c r="DP18" i="2"/>
  <c r="DO18" i="2"/>
  <c r="DN18" i="2"/>
  <c r="DM18" i="2"/>
  <c r="DL18" i="2"/>
  <c r="DK18" i="2"/>
  <c r="DJ18" i="2"/>
  <c r="DI18" i="2"/>
  <c r="DH18" i="2"/>
  <c r="DG18" i="2"/>
  <c r="DF18" i="2"/>
  <c r="DC18" i="2"/>
  <c r="CY18" i="2"/>
  <c r="CW18" i="2"/>
  <c r="DV18" i="2" s="1"/>
  <c r="CC18" i="2"/>
  <c r="CB18" i="2"/>
  <c r="CA18" i="2"/>
  <c r="BY18" i="2"/>
  <c r="BW18" i="2"/>
  <c r="BV18" i="2"/>
  <c r="BU18" i="2"/>
  <c r="BT18" i="2"/>
  <c r="BS18" i="2"/>
  <c r="BR18" i="2"/>
  <c r="BQ18" i="2"/>
  <c r="BP18" i="2"/>
  <c r="BO18" i="2"/>
  <c r="BN18" i="2"/>
  <c r="BM18" i="2"/>
  <c r="BL18" i="2"/>
  <c r="BK18" i="2"/>
  <c r="BJ18" i="2"/>
  <c r="BI18" i="2"/>
  <c r="BH18" i="2"/>
  <c r="BE18" i="2"/>
  <c r="BA18" i="2"/>
  <c r="AY18" i="2"/>
  <c r="BX18" i="2" s="1"/>
  <c r="AF18" i="2"/>
  <c r="AB18" i="2"/>
  <c r="EB17" i="2"/>
  <c r="EA17" i="2"/>
  <c r="DZ17" i="2"/>
  <c r="DY17" i="2"/>
  <c r="DX17" i="2"/>
  <c r="DW17" i="2"/>
  <c r="DV17" i="2"/>
  <c r="DU17" i="2"/>
  <c r="DT17" i="2"/>
  <c r="DS17" i="2"/>
  <c r="DR17" i="2"/>
  <c r="DQ17" i="2"/>
  <c r="DP17" i="2"/>
  <c r="DO17" i="2"/>
  <c r="DN17" i="2"/>
  <c r="DM17" i="2"/>
  <c r="DL17" i="2"/>
  <c r="DK17" i="2"/>
  <c r="DJ17" i="2"/>
  <c r="DI17" i="2"/>
  <c r="DH17" i="2"/>
  <c r="DF17" i="2"/>
  <c r="CF17" i="2"/>
  <c r="CD17" i="2"/>
  <c r="CC17" i="2"/>
  <c r="CB17" i="2"/>
  <c r="CA17" i="2"/>
  <c r="BZ17" i="2"/>
  <c r="BY17" i="2"/>
  <c r="BX17" i="2"/>
  <c r="BW17" i="2"/>
  <c r="BV17" i="2"/>
  <c r="BU17" i="2"/>
  <c r="BT17" i="2"/>
  <c r="BS17" i="2"/>
  <c r="BR17" i="2"/>
  <c r="BQ17" i="2"/>
  <c r="BP17" i="2"/>
  <c r="BO17" i="2"/>
  <c r="BN17" i="2"/>
  <c r="BM17" i="2"/>
  <c r="BL17" i="2"/>
  <c r="BK17" i="2"/>
  <c r="BJ17" i="2"/>
  <c r="BH17" i="2"/>
  <c r="AH17" i="2"/>
  <c r="K17" i="2"/>
  <c r="EA16" i="2"/>
  <c r="DZ16" i="2"/>
  <c r="DY16" i="2"/>
  <c r="DX16" i="2"/>
  <c r="DW16" i="2"/>
  <c r="DU16" i="2"/>
  <c r="DT16" i="2"/>
  <c r="DS16" i="2"/>
  <c r="DR16" i="2"/>
  <c r="DP16" i="2"/>
  <c r="DO16" i="2"/>
  <c r="DN16" i="2"/>
  <c r="DM16" i="2"/>
  <c r="DL16" i="2"/>
  <c r="DK16" i="2"/>
  <c r="DJ16" i="2"/>
  <c r="DI16" i="2"/>
  <c r="DH16" i="2"/>
  <c r="DF16" i="2"/>
  <c r="DC16" i="2"/>
  <c r="CW16" i="2"/>
  <c r="DV16" i="2" s="1"/>
  <c r="CH16" i="2"/>
  <c r="CC16" i="2"/>
  <c r="CB16" i="2"/>
  <c r="CA16" i="2"/>
  <c r="BZ16" i="2"/>
  <c r="BY16" i="2"/>
  <c r="BW16" i="2"/>
  <c r="BV16" i="2"/>
  <c r="BU16" i="2"/>
  <c r="BT16" i="2"/>
  <c r="BR16" i="2"/>
  <c r="BQ16" i="2"/>
  <c r="BP16" i="2"/>
  <c r="BO16" i="2"/>
  <c r="BN16" i="2"/>
  <c r="BM16" i="2"/>
  <c r="BL16" i="2"/>
  <c r="BK16" i="2"/>
  <c r="BJ16" i="2"/>
  <c r="BH16" i="2"/>
  <c r="BE16" i="2"/>
  <c r="AY16" i="2"/>
  <c r="BX16" i="2" s="1"/>
  <c r="AJ16" i="2"/>
  <c r="AF16" i="2"/>
  <c r="U16" i="2"/>
  <c r="DQ16" i="2" s="1"/>
  <c r="K16" i="2"/>
  <c r="EA15" i="2"/>
  <c r="DZ15" i="2"/>
  <c r="DY15" i="2"/>
  <c r="DX15" i="2"/>
  <c r="DW15" i="2"/>
  <c r="DU15" i="2"/>
  <c r="DT15" i="2"/>
  <c r="DS15" i="2"/>
  <c r="DR15" i="2"/>
  <c r="DQ15" i="2"/>
  <c r="DP15" i="2"/>
  <c r="DO15" i="2"/>
  <c r="DN15" i="2"/>
  <c r="DM15" i="2"/>
  <c r="DL15" i="2"/>
  <c r="DK15" i="2"/>
  <c r="DJ15" i="2"/>
  <c r="DI15" i="2"/>
  <c r="DH15" i="2"/>
  <c r="DG15" i="2"/>
  <c r="DF15" i="2"/>
  <c r="CW15" i="2"/>
  <c r="CF15" i="2" s="1"/>
  <c r="CD15" i="2"/>
  <c r="CC15" i="2"/>
  <c r="CB15" i="2"/>
  <c r="CA15" i="2"/>
  <c r="BZ15" i="2"/>
  <c r="BY15" i="2"/>
  <c r="BW15" i="2"/>
  <c r="BV15" i="2"/>
  <c r="BU15" i="2"/>
  <c r="BT15" i="2"/>
  <c r="BS15" i="2"/>
  <c r="BR15" i="2"/>
  <c r="BQ15" i="2"/>
  <c r="BP15" i="2"/>
  <c r="BO15" i="2"/>
  <c r="BN15" i="2"/>
  <c r="BM15" i="2"/>
  <c r="BL15" i="2"/>
  <c r="BK15" i="2"/>
  <c r="BJ15" i="2"/>
  <c r="BI15" i="2"/>
  <c r="BH15" i="2"/>
  <c r="AY15" i="2"/>
  <c r="BX15" i="2" s="1"/>
  <c r="AF15" i="2"/>
  <c r="EB15" i="2" s="1"/>
  <c r="G15" i="2"/>
  <c r="I15" i="2" s="1"/>
  <c r="EA14" i="2"/>
  <c r="DZ14" i="2"/>
  <c r="DY14" i="2"/>
  <c r="DX14" i="2"/>
  <c r="DW14" i="2"/>
  <c r="DU14" i="2"/>
  <c r="DT14" i="2"/>
  <c r="DS14" i="2"/>
  <c r="DR14" i="2"/>
  <c r="DP14" i="2"/>
  <c r="DO14" i="2"/>
  <c r="DN14" i="2"/>
  <c r="DM14" i="2"/>
  <c r="DL14" i="2"/>
  <c r="DK14" i="2"/>
  <c r="DJ14" i="2"/>
  <c r="DH14" i="2"/>
  <c r="DF14" i="2"/>
  <c r="DC14" i="2"/>
  <c r="CW14" i="2"/>
  <c r="DV14" i="2" s="1"/>
  <c r="CR14" i="2"/>
  <c r="CR137" i="2" s="1"/>
  <c r="CJ14" i="2"/>
  <c r="CJ137" i="2" s="1"/>
  <c r="CH14" i="2"/>
  <c r="DG14" i="2" s="1"/>
  <c r="CC14" i="2"/>
  <c r="CB14" i="2"/>
  <c r="CA14" i="2"/>
  <c r="BZ14" i="2"/>
  <c r="BY14" i="2"/>
  <c r="BW14" i="2"/>
  <c r="BV14" i="2"/>
  <c r="BU14" i="2"/>
  <c r="BT14" i="2"/>
  <c r="BR14" i="2"/>
  <c r="BQ14" i="2"/>
  <c r="BP14" i="2"/>
  <c r="BO14" i="2"/>
  <c r="BN14" i="2"/>
  <c r="BM14" i="2"/>
  <c r="BL14" i="2"/>
  <c r="BJ14" i="2"/>
  <c r="BH14" i="2"/>
  <c r="BE14" i="2"/>
  <c r="AY14" i="2"/>
  <c r="BX14" i="2" s="1"/>
  <c r="AT14" i="2"/>
  <c r="AT137" i="2" s="1"/>
  <c r="AL14" i="2"/>
  <c r="AL137" i="2" s="1"/>
  <c r="AJ14" i="2"/>
  <c r="AF14" i="2"/>
  <c r="U14" i="2"/>
  <c r="M14" i="2"/>
  <c r="EB13" i="2"/>
  <c r="EA13" i="2"/>
  <c r="DZ13" i="2"/>
  <c r="DY13" i="2"/>
  <c r="DX13" i="2"/>
  <c r="DW13" i="2"/>
  <c r="DV13" i="2"/>
  <c r="DU13" i="2"/>
  <c r="DT13" i="2"/>
  <c r="DS13" i="2"/>
  <c r="DR13" i="2"/>
  <c r="DQ13" i="2"/>
  <c r="DP13" i="2"/>
  <c r="DO13" i="2"/>
  <c r="DN13" i="2"/>
  <c r="DM13" i="2"/>
  <c r="DL13" i="2"/>
  <c r="DK13" i="2"/>
  <c r="DJ13" i="2"/>
  <c r="DH13" i="2"/>
  <c r="DG13" i="2"/>
  <c r="DF13" i="2"/>
  <c r="CF13" i="2"/>
  <c r="CD13" i="2"/>
  <c r="CC13" i="2"/>
  <c r="CB13" i="2"/>
  <c r="CA13" i="2"/>
  <c r="BZ13" i="2"/>
  <c r="BY13" i="2"/>
  <c r="BX13" i="2"/>
  <c r="BW13" i="2"/>
  <c r="BV13" i="2"/>
  <c r="BU13" i="2"/>
  <c r="BT13" i="2"/>
  <c r="BS13" i="2"/>
  <c r="BR13" i="2"/>
  <c r="BQ13" i="2"/>
  <c r="BP13" i="2"/>
  <c r="BO13" i="2"/>
  <c r="BN13" i="2"/>
  <c r="BM13" i="2"/>
  <c r="BL13" i="2"/>
  <c r="BJ13" i="2"/>
  <c r="BI13" i="2"/>
  <c r="BH13" i="2"/>
  <c r="AH13" i="2"/>
  <c r="M13" i="2"/>
  <c r="G13" i="2" s="1"/>
  <c r="EB12" i="2"/>
  <c r="DZ12" i="2"/>
  <c r="DY12" i="2"/>
  <c r="DX12" i="2"/>
  <c r="DW12" i="2"/>
  <c r="DV12" i="2"/>
  <c r="DU12" i="2"/>
  <c r="DT12" i="2"/>
  <c r="DS12" i="2"/>
  <c r="DR12" i="2"/>
  <c r="DQ12" i="2"/>
  <c r="DP12" i="2"/>
  <c r="DO12" i="2"/>
  <c r="DN12" i="2"/>
  <c r="DM12" i="2"/>
  <c r="DL12" i="2"/>
  <c r="DK12" i="2"/>
  <c r="DJ12" i="2"/>
  <c r="DI12" i="2"/>
  <c r="DH12" i="2"/>
  <c r="DF12" i="2"/>
  <c r="CF12" i="2"/>
  <c r="CD12" i="2"/>
  <c r="CB12" i="2"/>
  <c r="CA12" i="2"/>
  <c r="BZ12" i="2"/>
  <c r="BY12" i="2"/>
  <c r="BX12" i="2"/>
  <c r="BW12" i="2"/>
  <c r="BV12" i="2"/>
  <c r="BU12" i="2"/>
  <c r="BT12" i="2"/>
  <c r="BS12" i="2"/>
  <c r="BR12" i="2"/>
  <c r="BQ12" i="2"/>
  <c r="BP12" i="2"/>
  <c r="BO12" i="2"/>
  <c r="BN12" i="2"/>
  <c r="BM12" i="2"/>
  <c r="BL12" i="2"/>
  <c r="BK12" i="2"/>
  <c r="BJ12" i="2"/>
  <c r="BH12" i="2"/>
  <c r="AH12" i="2"/>
  <c r="AE12" i="2"/>
  <c r="AE139" i="2" s="1"/>
  <c r="K12" i="2"/>
  <c r="BI12" i="2" s="1"/>
  <c r="EB11" i="2"/>
  <c r="EA11" i="2"/>
  <c r="DZ11" i="2"/>
  <c r="DY11" i="2"/>
  <c r="DX11" i="2"/>
  <c r="DW11" i="2"/>
  <c r="DV11" i="2"/>
  <c r="DU11" i="2"/>
  <c r="DT11" i="2"/>
  <c r="DS11" i="2"/>
  <c r="DR11" i="2"/>
  <c r="DQ11" i="2"/>
  <c r="DP11" i="2"/>
  <c r="DO11" i="2"/>
  <c r="DN11" i="2"/>
  <c r="DM11" i="2"/>
  <c r="DL11" i="2"/>
  <c r="DK11" i="2"/>
  <c r="DJ11" i="2"/>
  <c r="DI11" i="2"/>
  <c r="DH11" i="2"/>
  <c r="DG11" i="2"/>
  <c r="DF11" i="2"/>
  <c r="CF11" i="2"/>
  <c r="CD11" i="2"/>
  <c r="CC11" i="2"/>
  <c r="CB11" i="2"/>
  <c r="CA11" i="2"/>
  <c r="BZ11" i="2"/>
  <c r="BY11" i="2"/>
  <c r="BX11" i="2"/>
  <c r="BW11" i="2"/>
  <c r="BV11" i="2"/>
  <c r="BU11" i="2"/>
  <c r="BT11" i="2"/>
  <c r="BS11" i="2"/>
  <c r="BR11" i="2"/>
  <c r="BQ11" i="2"/>
  <c r="BP11" i="2"/>
  <c r="BO11" i="2"/>
  <c r="BN11" i="2"/>
  <c r="BM11" i="2"/>
  <c r="BL11" i="2"/>
  <c r="BK11" i="2"/>
  <c r="BJ11" i="2"/>
  <c r="BI11" i="2"/>
  <c r="BH11" i="2"/>
  <c r="AH11" i="2"/>
  <c r="G11" i="2"/>
  <c r="I11" i="2" s="1"/>
  <c r="EA10" i="2"/>
  <c r="DZ10" i="2"/>
  <c r="DY10" i="2"/>
  <c r="DX10" i="2"/>
  <c r="DW10" i="2"/>
  <c r="DU10" i="2"/>
  <c r="DT10" i="2"/>
  <c r="DS10" i="2"/>
  <c r="DR10" i="2"/>
  <c r="DQ10" i="2"/>
  <c r="DP10" i="2"/>
  <c r="DO10" i="2"/>
  <c r="DN10" i="2"/>
  <c r="DM10" i="2"/>
  <c r="DL10" i="2"/>
  <c r="DK10" i="2"/>
  <c r="DJ10" i="2"/>
  <c r="DI10" i="2"/>
  <c r="DH10" i="2"/>
  <c r="DG10" i="2"/>
  <c r="DF10" i="2"/>
  <c r="DC10" i="2"/>
  <c r="CW10" i="2"/>
  <c r="CC10" i="2"/>
  <c r="CB10" i="2"/>
  <c r="CA10" i="2"/>
  <c r="BZ10" i="2"/>
  <c r="BY10" i="2"/>
  <c r="BW10" i="2"/>
  <c r="BV10" i="2"/>
  <c r="BU10" i="2"/>
  <c r="BT10" i="2"/>
  <c r="BS10" i="2"/>
  <c r="BR10" i="2"/>
  <c r="BQ10" i="2"/>
  <c r="BP10" i="2"/>
  <c r="BO10" i="2"/>
  <c r="BN10" i="2"/>
  <c r="BM10" i="2"/>
  <c r="BL10" i="2"/>
  <c r="BK10" i="2"/>
  <c r="BJ10" i="2"/>
  <c r="BI10" i="2"/>
  <c r="BH10" i="2"/>
  <c r="BE10" i="2"/>
  <c r="AY10" i="2"/>
  <c r="BX10" i="2" s="1"/>
  <c r="AF10" i="2"/>
  <c r="G10" i="2" s="1"/>
  <c r="EB9" i="2"/>
  <c r="EA9" i="2"/>
  <c r="DZ9" i="2"/>
  <c r="DY9" i="2"/>
  <c r="DX9" i="2"/>
  <c r="DW9" i="2"/>
  <c r="DU9" i="2"/>
  <c r="DT9" i="2"/>
  <c r="DS9" i="2"/>
  <c r="DR9" i="2"/>
  <c r="DQ9" i="2"/>
  <c r="DP9" i="2"/>
  <c r="DO9" i="2"/>
  <c r="DN9" i="2"/>
  <c r="DM9" i="2"/>
  <c r="DL9" i="2"/>
  <c r="DK9" i="2"/>
  <c r="DJ9" i="2"/>
  <c r="DI9" i="2"/>
  <c r="DH9" i="2"/>
  <c r="DF9" i="2"/>
  <c r="CW9" i="2"/>
  <c r="CH9" i="2"/>
  <c r="CD9" i="2"/>
  <c r="CC9" i="2"/>
  <c r="CB9" i="2"/>
  <c r="CA9" i="2"/>
  <c r="BZ9" i="2"/>
  <c r="BY9" i="2"/>
  <c r="BW9" i="2"/>
  <c r="BV9" i="2"/>
  <c r="BU9" i="2"/>
  <c r="BT9" i="2"/>
  <c r="BS9" i="2"/>
  <c r="BR9" i="2"/>
  <c r="BQ9" i="2"/>
  <c r="BP9" i="2"/>
  <c r="BO9" i="2"/>
  <c r="BN9" i="2"/>
  <c r="BM9" i="2"/>
  <c r="BL9" i="2"/>
  <c r="BK9" i="2"/>
  <c r="BJ9" i="2"/>
  <c r="BH9" i="2"/>
  <c r="AY9" i="2"/>
  <c r="AJ9" i="2"/>
  <c r="BI9" i="2" s="1"/>
  <c r="G9" i="2"/>
  <c r="EB8" i="2"/>
  <c r="EA8" i="2"/>
  <c r="DZ8" i="2"/>
  <c r="DY8" i="2"/>
  <c r="DX8" i="2"/>
  <c r="DW8" i="2"/>
  <c r="DV8" i="2"/>
  <c r="DU8" i="2"/>
  <c r="DT8" i="2"/>
  <c r="DS8" i="2"/>
  <c r="DR8" i="2"/>
  <c r="DQ8" i="2"/>
  <c r="DP8" i="2"/>
  <c r="DO8" i="2"/>
  <c r="DN8" i="2"/>
  <c r="DM8" i="2"/>
  <c r="DL8" i="2"/>
  <c r="DK8" i="2"/>
  <c r="DJ8" i="2"/>
  <c r="DI8" i="2"/>
  <c r="DH8" i="2"/>
  <c r="DF8" i="2"/>
  <c r="CF8" i="2"/>
  <c r="CD8" i="2"/>
  <c r="CC8" i="2"/>
  <c r="CB8" i="2"/>
  <c r="CA8" i="2"/>
  <c r="BZ8" i="2"/>
  <c r="BY8" i="2"/>
  <c r="BX8" i="2"/>
  <c r="BW8" i="2"/>
  <c r="BV8" i="2"/>
  <c r="BU8" i="2"/>
  <c r="BT8" i="2"/>
  <c r="BS8" i="2"/>
  <c r="BR8" i="2"/>
  <c r="BQ8" i="2"/>
  <c r="BP8" i="2"/>
  <c r="BO8" i="2"/>
  <c r="BN8" i="2"/>
  <c r="BM8" i="2"/>
  <c r="BL8" i="2"/>
  <c r="BK8" i="2"/>
  <c r="BJ8" i="2"/>
  <c r="BH8" i="2"/>
  <c r="AH8" i="2"/>
  <c r="K8" i="2"/>
  <c r="DG8" i="2" s="1"/>
  <c r="EA7" i="2"/>
  <c r="DZ7" i="2"/>
  <c r="DY7" i="2"/>
  <c r="DX7" i="2"/>
  <c r="DV7" i="2"/>
  <c r="DU7" i="2"/>
  <c r="DT7" i="2"/>
  <c r="DS7" i="2"/>
  <c r="DR7" i="2"/>
  <c r="DQ7" i="2"/>
  <c r="DP7" i="2"/>
  <c r="DO7" i="2"/>
  <c r="DN7" i="2"/>
  <c r="DM7" i="2"/>
  <c r="DL7" i="2"/>
  <c r="DK7" i="2"/>
  <c r="DJ7" i="2"/>
  <c r="DI7" i="2"/>
  <c r="DH7" i="2"/>
  <c r="DF7" i="2"/>
  <c r="DC7" i="2"/>
  <c r="CH7" i="2"/>
  <c r="CC7" i="2"/>
  <c r="CB7" i="2"/>
  <c r="CA7" i="2"/>
  <c r="BZ7" i="2"/>
  <c r="BX7" i="2"/>
  <c r="BW7" i="2"/>
  <c r="BV7" i="2"/>
  <c r="BU7" i="2"/>
  <c r="BT7" i="2"/>
  <c r="BS7" i="2"/>
  <c r="BR7" i="2"/>
  <c r="BQ7" i="2"/>
  <c r="BP7" i="2"/>
  <c r="BO7" i="2"/>
  <c r="BN7" i="2"/>
  <c r="BM7" i="2"/>
  <c r="BL7" i="2"/>
  <c r="BK7" i="2"/>
  <c r="BJ7" i="2"/>
  <c r="BH7" i="2"/>
  <c r="BE7" i="2"/>
  <c r="AJ7" i="2"/>
  <c r="AF7" i="2"/>
  <c r="AA7" i="2"/>
  <c r="BY7" i="2" s="1"/>
  <c r="K7" i="2"/>
  <c r="EC141" i="1"/>
  <c r="DB139" i="1"/>
  <c r="DA139" i="1"/>
  <c r="CZ139" i="1"/>
  <c r="CW139" i="1"/>
  <c r="CU139" i="1"/>
  <c r="CT139" i="1"/>
  <c r="CS139" i="1"/>
  <c r="CR139" i="1"/>
  <c r="CQ139" i="1"/>
  <c r="CP139" i="1"/>
  <c r="CO139" i="1"/>
  <c r="CN139" i="1"/>
  <c r="CM139" i="1"/>
  <c r="CK139" i="1"/>
  <c r="CJ139" i="1"/>
  <c r="CI139" i="1"/>
  <c r="CG139" i="1"/>
  <c r="BD139" i="1"/>
  <c r="BC139" i="1"/>
  <c r="BB139" i="1"/>
  <c r="AY139" i="1"/>
  <c r="AW139" i="1"/>
  <c r="AV139" i="1"/>
  <c r="AU139" i="1"/>
  <c r="AT139" i="1"/>
  <c r="AS139" i="1"/>
  <c r="AR139" i="1"/>
  <c r="AQ139" i="1"/>
  <c r="AP139" i="1"/>
  <c r="AO139" i="1"/>
  <c r="AM139" i="1"/>
  <c r="AL139" i="1"/>
  <c r="AK139" i="1"/>
  <c r="AI139" i="1"/>
  <c r="AE139" i="1"/>
  <c r="AC139" i="1"/>
  <c r="Z139" i="1"/>
  <c r="X139" i="1"/>
  <c r="W139" i="1"/>
  <c r="V139" i="1"/>
  <c r="U139" i="1"/>
  <c r="T139" i="1"/>
  <c r="S139" i="1"/>
  <c r="R139" i="1"/>
  <c r="Q139" i="1"/>
  <c r="P139" i="1"/>
  <c r="O139" i="1"/>
  <c r="N139" i="1"/>
  <c r="M139" i="1"/>
  <c r="L139" i="1"/>
  <c r="J139" i="1"/>
  <c r="DB138" i="1"/>
  <c r="DA138" i="1"/>
  <c r="CZ138" i="1"/>
  <c r="CV138" i="1"/>
  <c r="CU138" i="1"/>
  <c r="CT138" i="1"/>
  <c r="CS138" i="1"/>
  <c r="CQ138" i="1"/>
  <c r="CP138" i="1"/>
  <c r="CO138" i="1"/>
  <c r="CN138" i="1"/>
  <c r="CM138" i="1"/>
  <c r="CL138" i="1"/>
  <c r="CK138" i="1"/>
  <c r="CJ138" i="1"/>
  <c r="CI138" i="1"/>
  <c r="CG138" i="1"/>
  <c r="BD138" i="1"/>
  <c r="BC138" i="1"/>
  <c r="BB138" i="1"/>
  <c r="AX138" i="1"/>
  <c r="AW138" i="1"/>
  <c r="AV138" i="1"/>
  <c r="AU138" i="1"/>
  <c r="AS138" i="1"/>
  <c r="AR138" i="1"/>
  <c r="AQ138" i="1"/>
  <c r="AP138" i="1"/>
  <c r="AO138" i="1"/>
  <c r="AN138" i="1"/>
  <c r="AM138" i="1"/>
  <c r="AL138" i="1"/>
  <c r="AK138" i="1"/>
  <c r="AI138" i="1"/>
  <c r="AC138" i="1"/>
  <c r="Z138" i="1"/>
  <c r="Y138" i="1"/>
  <c r="X138" i="1"/>
  <c r="W138" i="1"/>
  <c r="V138" i="1"/>
  <c r="T138" i="1"/>
  <c r="S138" i="1"/>
  <c r="R138" i="1"/>
  <c r="Q138" i="1"/>
  <c r="P138" i="1"/>
  <c r="O138" i="1"/>
  <c r="N138" i="1"/>
  <c r="M138" i="1"/>
  <c r="L138" i="1"/>
  <c r="J138" i="1"/>
  <c r="DB137" i="1"/>
  <c r="CZ137" i="1"/>
  <c r="CW137" i="1"/>
  <c r="CT137" i="1"/>
  <c r="CS137" i="1"/>
  <c r="CM137" i="1"/>
  <c r="CL137" i="1"/>
  <c r="CK137" i="1"/>
  <c r="CJ137" i="1"/>
  <c r="CI137" i="1"/>
  <c r="CG137" i="1"/>
  <c r="BD137" i="1"/>
  <c r="BB137" i="1"/>
  <c r="AY137" i="1"/>
  <c r="AV137" i="1"/>
  <c r="AU137" i="1"/>
  <c r="AO137" i="1"/>
  <c r="AN137" i="1"/>
  <c r="AM137" i="1"/>
  <c r="AL137" i="1"/>
  <c r="AK137" i="1"/>
  <c r="AI137" i="1"/>
  <c r="AE137" i="1"/>
  <c r="AC137" i="1"/>
  <c r="AB137" i="1"/>
  <c r="Z137" i="1"/>
  <c r="W137" i="1"/>
  <c r="V137" i="1"/>
  <c r="T137" i="1"/>
  <c r="P137" i="1"/>
  <c r="O137" i="1"/>
  <c r="N137" i="1"/>
  <c r="M137" i="1"/>
  <c r="L137" i="1"/>
  <c r="J137" i="1"/>
  <c r="DB136" i="1"/>
  <c r="DA136" i="1"/>
  <c r="CZ136" i="1"/>
  <c r="CY136" i="1"/>
  <c r="CX136" i="1"/>
  <c r="CV136" i="1"/>
  <c r="CU136" i="1"/>
  <c r="CT136" i="1"/>
  <c r="CS136" i="1"/>
  <c r="CQ136" i="1"/>
  <c r="CP136" i="1"/>
  <c r="CO136" i="1"/>
  <c r="CN136" i="1"/>
  <c r="CM136" i="1"/>
  <c r="CL136" i="1"/>
  <c r="CK136" i="1"/>
  <c r="CI136" i="1"/>
  <c r="CG136" i="1"/>
  <c r="BD136" i="1"/>
  <c r="BC136" i="1"/>
  <c r="BB136" i="1"/>
  <c r="BA136" i="1"/>
  <c r="AZ136" i="1"/>
  <c r="AX136" i="1"/>
  <c r="AW136" i="1"/>
  <c r="AV136" i="1"/>
  <c r="AU136" i="1"/>
  <c r="AS136" i="1"/>
  <c r="AR136" i="1"/>
  <c r="AQ136" i="1"/>
  <c r="AP136" i="1"/>
  <c r="AO136" i="1"/>
  <c r="AN136" i="1"/>
  <c r="AM136" i="1"/>
  <c r="AK136" i="1"/>
  <c r="AI136" i="1"/>
  <c r="AE136" i="1"/>
  <c r="AC136" i="1"/>
  <c r="AB136" i="1"/>
  <c r="AA136" i="1"/>
  <c r="Z136" i="1"/>
  <c r="Y136" i="1"/>
  <c r="X136" i="1"/>
  <c r="W136" i="1"/>
  <c r="V136" i="1"/>
  <c r="T136" i="1"/>
  <c r="S136" i="1"/>
  <c r="R136" i="1"/>
  <c r="Q136" i="1"/>
  <c r="P136" i="1"/>
  <c r="O136" i="1"/>
  <c r="N136" i="1"/>
  <c r="L136" i="1"/>
  <c r="J136" i="1"/>
  <c r="DB135" i="1"/>
  <c r="DA135" i="1"/>
  <c r="CY135" i="1"/>
  <c r="CV135" i="1"/>
  <c r="CU135" i="1"/>
  <c r="CT135" i="1"/>
  <c r="CS135" i="1"/>
  <c r="CR135" i="1"/>
  <c r="CQ135" i="1"/>
  <c r="CP135" i="1"/>
  <c r="CO135" i="1"/>
  <c r="CN135" i="1"/>
  <c r="CM135" i="1"/>
  <c r="CL135" i="1"/>
  <c r="CK135" i="1"/>
  <c r="BD135" i="1"/>
  <c r="BC135" i="1"/>
  <c r="BA135" i="1"/>
  <c r="AX135" i="1"/>
  <c r="AW135" i="1"/>
  <c r="AV135" i="1"/>
  <c r="AU135" i="1"/>
  <c r="AT135" i="1"/>
  <c r="AS135" i="1"/>
  <c r="AR135" i="1"/>
  <c r="AQ135" i="1"/>
  <c r="AP135" i="1"/>
  <c r="AO135" i="1"/>
  <c r="AN135" i="1"/>
  <c r="AM135" i="1"/>
  <c r="AE135" i="1"/>
  <c r="AB135" i="1"/>
  <c r="Z135" i="1"/>
  <c r="Y135" i="1"/>
  <c r="X135" i="1"/>
  <c r="W135" i="1"/>
  <c r="V135" i="1"/>
  <c r="U135" i="1"/>
  <c r="T135" i="1"/>
  <c r="S135" i="1"/>
  <c r="R135" i="1"/>
  <c r="Q135" i="1"/>
  <c r="P135" i="1"/>
  <c r="O135" i="1"/>
  <c r="N135" i="1"/>
  <c r="L135" i="1"/>
  <c r="K135" i="1"/>
  <c r="DA134" i="1"/>
  <c r="CW134" i="1"/>
  <c r="CV134" i="1"/>
  <c r="CU134" i="1"/>
  <c r="CT134" i="1"/>
  <c r="CS134" i="1"/>
  <c r="CQ134" i="1"/>
  <c r="CP134" i="1"/>
  <c r="CO134" i="1"/>
  <c r="CL134" i="1"/>
  <c r="CK134" i="1"/>
  <c r="CI134" i="1"/>
  <c r="BC134" i="1"/>
  <c r="AY134" i="1"/>
  <c r="AX134" i="1"/>
  <c r="AW134" i="1"/>
  <c r="AV134" i="1"/>
  <c r="AU134" i="1"/>
  <c r="AS134" i="1"/>
  <c r="AR134" i="1"/>
  <c r="AQ134" i="1"/>
  <c r="AN134" i="1"/>
  <c r="AM134" i="1"/>
  <c r="AK134" i="1"/>
  <c r="AB134" i="1"/>
  <c r="Z134" i="1"/>
  <c r="Z140" i="1" s="1"/>
  <c r="Y134" i="1"/>
  <c r="X134" i="1"/>
  <c r="W134" i="1"/>
  <c r="V134" i="1"/>
  <c r="T134" i="1"/>
  <c r="R134" i="1"/>
  <c r="P134" i="1"/>
  <c r="O134" i="1"/>
  <c r="N134" i="1"/>
  <c r="L134" i="1"/>
  <c r="DB133" i="1"/>
  <c r="DA133" i="1"/>
  <c r="CZ133" i="1"/>
  <c r="CY133" i="1"/>
  <c r="CW133" i="1"/>
  <c r="CV133" i="1"/>
  <c r="CU133" i="1"/>
  <c r="CS133" i="1"/>
  <c r="CR133" i="1"/>
  <c r="CQ133" i="1"/>
  <c r="CP133" i="1"/>
  <c r="CO133" i="1"/>
  <c r="CN133" i="1"/>
  <c r="CM133" i="1"/>
  <c r="CL133" i="1"/>
  <c r="CI133" i="1"/>
  <c r="CH133" i="1"/>
  <c r="BD133" i="1"/>
  <c r="BC133" i="1"/>
  <c r="BB133" i="1"/>
  <c r="BA133" i="1"/>
  <c r="AY133" i="1"/>
  <c r="AX133" i="1"/>
  <c r="AW133" i="1"/>
  <c r="AU133" i="1"/>
  <c r="AT133" i="1"/>
  <c r="AS133" i="1"/>
  <c r="AR133" i="1"/>
  <c r="AQ133" i="1"/>
  <c r="AP133" i="1"/>
  <c r="AO133" i="1"/>
  <c r="AN133" i="1"/>
  <c r="AK133" i="1"/>
  <c r="AE133" i="1"/>
  <c r="AD133" i="1"/>
  <c r="AC133" i="1"/>
  <c r="AB133" i="1"/>
  <c r="AA133" i="1"/>
  <c r="Z133" i="1"/>
  <c r="Y133" i="1"/>
  <c r="X133" i="1"/>
  <c r="W133" i="1"/>
  <c r="W140" i="1" s="1"/>
  <c r="U133" i="1"/>
  <c r="T133" i="1"/>
  <c r="Q133" i="1"/>
  <c r="P133" i="1"/>
  <c r="P140" i="1" s="1"/>
  <c r="O133" i="1"/>
  <c r="N133" i="1"/>
  <c r="L133" i="1"/>
  <c r="J133" i="1"/>
  <c r="DA129" i="1"/>
  <c r="CW129" i="1"/>
  <c r="CV129" i="1"/>
  <c r="CU129" i="1"/>
  <c r="CS129" i="1"/>
  <c r="CQ129" i="1"/>
  <c r="CP129" i="1"/>
  <c r="CO129" i="1"/>
  <c r="CL129" i="1"/>
  <c r="CI129" i="1"/>
  <c r="BC129" i="1"/>
  <c r="AY129" i="1"/>
  <c r="AX129" i="1"/>
  <c r="AW129" i="1"/>
  <c r="AU129" i="1"/>
  <c r="AS129" i="1"/>
  <c r="AR129" i="1"/>
  <c r="AQ129" i="1"/>
  <c r="AN129" i="1"/>
  <c r="AK129" i="1"/>
  <c r="AD129" i="1"/>
  <c r="Z129" i="1"/>
  <c r="Y129" i="1"/>
  <c r="X129" i="1"/>
  <c r="W129" i="1"/>
  <c r="T129" i="1"/>
  <c r="R129" i="1"/>
  <c r="P129" i="1"/>
  <c r="O129" i="1"/>
  <c r="N129" i="1"/>
  <c r="L129" i="1"/>
  <c r="H129" i="1"/>
  <c r="EA128" i="1"/>
  <c r="DZ128" i="1"/>
  <c r="DY128" i="1"/>
  <c r="DX128" i="1"/>
  <c r="DW128" i="1"/>
  <c r="DV128" i="1"/>
  <c r="DU128" i="1"/>
  <c r="DT128" i="1"/>
  <c r="DS128" i="1"/>
  <c r="DR128" i="1"/>
  <c r="DQ128" i="1"/>
  <c r="DP128" i="1"/>
  <c r="DO128" i="1"/>
  <c r="DN128" i="1"/>
  <c r="DM128" i="1"/>
  <c r="DL128" i="1"/>
  <c r="DK128" i="1"/>
  <c r="DJ128" i="1"/>
  <c r="DI128" i="1"/>
  <c r="DH128" i="1"/>
  <c r="DF128" i="1"/>
  <c r="DC128" i="1"/>
  <c r="CH128" i="1"/>
  <c r="DG128" i="1" s="1"/>
  <c r="CC128" i="1"/>
  <c r="CB128" i="1"/>
  <c r="CA128" i="1"/>
  <c r="BZ128" i="1"/>
  <c r="BY128" i="1"/>
  <c r="BX128" i="1"/>
  <c r="BW128" i="1"/>
  <c r="BV128" i="1"/>
  <c r="BU128" i="1"/>
  <c r="BT128" i="1"/>
  <c r="BS128" i="1"/>
  <c r="BR128" i="1"/>
  <c r="BQ128" i="1"/>
  <c r="BP128" i="1"/>
  <c r="BO128" i="1"/>
  <c r="BN128" i="1"/>
  <c r="BM128" i="1"/>
  <c r="BL128" i="1"/>
  <c r="BK128" i="1"/>
  <c r="BJ128" i="1"/>
  <c r="BH128" i="1"/>
  <c r="BE128" i="1"/>
  <c r="AJ128" i="1"/>
  <c r="AF128" i="1"/>
  <c r="K128" i="1"/>
  <c r="EB127" i="1"/>
  <c r="EA127" i="1"/>
  <c r="DZ127" i="1"/>
  <c r="DY127" i="1"/>
  <c r="DX127" i="1"/>
  <c r="DW127" i="1"/>
  <c r="DV127" i="1"/>
  <c r="DU127" i="1"/>
  <c r="DT127" i="1"/>
  <c r="DS127" i="1"/>
  <c r="DR127" i="1"/>
  <c r="DQ127" i="1"/>
  <c r="DP127" i="1"/>
  <c r="DO127" i="1"/>
  <c r="DN127" i="1"/>
  <c r="DM127" i="1"/>
  <c r="DL127" i="1"/>
  <c r="DK127" i="1"/>
  <c r="DJ127" i="1"/>
  <c r="DI127" i="1"/>
  <c r="DH127" i="1"/>
  <c r="DF127" i="1"/>
  <c r="CH127" i="1"/>
  <c r="DG127" i="1" s="1"/>
  <c r="DE127" i="1" s="1"/>
  <c r="CD127" i="1"/>
  <c r="CC127" i="1"/>
  <c r="CB127" i="1"/>
  <c r="CA127" i="1"/>
  <c r="BZ127" i="1"/>
  <c r="BY127" i="1"/>
  <c r="BX127" i="1"/>
  <c r="BW127" i="1"/>
  <c r="BV127" i="1"/>
  <c r="BU127" i="1"/>
  <c r="BT127" i="1"/>
  <c r="BS127" i="1"/>
  <c r="BR127" i="1"/>
  <c r="BQ127" i="1"/>
  <c r="BP127" i="1"/>
  <c r="BO127" i="1"/>
  <c r="BN127" i="1"/>
  <c r="BM127" i="1"/>
  <c r="BL127" i="1"/>
  <c r="BK127" i="1"/>
  <c r="BJ127" i="1"/>
  <c r="BH127" i="1"/>
  <c r="AJ127" i="1"/>
  <c r="AH127" i="1" s="1"/>
  <c r="K127" i="1"/>
  <c r="G127" i="1"/>
  <c r="EB126" i="1"/>
  <c r="EA126" i="1"/>
  <c r="DZ126" i="1"/>
  <c r="DY126" i="1"/>
  <c r="DV126" i="1"/>
  <c r="DU126" i="1"/>
  <c r="DT126" i="1"/>
  <c r="DS126" i="1"/>
  <c r="DR126" i="1"/>
  <c r="DQ126" i="1"/>
  <c r="DP126" i="1"/>
  <c r="DO126" i="1"/>
  <c r="DN126" i="1"/>
  <c r="DM126" i="1"/>
  <c r="DL126" i="1"/>
  <c r="DK126" i="1"/>
  <c r="DJ126" i="1"/>
  <c r="DI126" i="1"/>
  <c r="DH126" i="1"/>
  <c r="DF126" i="1"/>
  <c r="CY126" i="1"/>
  <c r="CX126" i="1"/>
  <c r="CH126" i="1"/>
  <c r="DG126" i="1" s="1"/>
  <c r="CD126" i="1"/>
  <c r="CC126" i="1"/>
  <c r="CB126" i="1"/>
  <c r="CA126" i="1"/>
  <c r="BX126" i="1"/>
  <c r="BW126" i="1"/>
  <c r="BV126" i="1"/>
  <c r="BU126" i="1"/>
  <c r="BT126" i="1"/>
  <c r="BS126" i="1"/>
  <c r="BR126" i="1"/>
  <c r="BQ126" i="1"/>
  <c r="BP126" i="1"/>
  <c r="BO126" i="1"/>
  <c r="BN126" i="1"/>
  <c r="BM126" i="1"/>
  <c r="BL126" i="1"/>
  <c r="BK126" i="1"/>
  <c r="BJ126" i="1"/>
  <c r="BH126" i="1"/>
  <c r="BA126" i="1"/>
  <c r="AZ126" i="1"/>
  <c r="BY126" i="1" s="1"/>
  <c r="AJ126" i="1"/>
  <c r="AB126" i="1"/>
  <c r="AA126" i="1"/>
  <c r="EA125" i="1"/>
  <c r="DZ125" i="1"/>
  <c r="DY125" i="1"/>
  <c r="DX125" i="1"/>
  <c r="DW125" i="1"/>
  <c r="DV125" i="1"/>
  <c r="DU125" i="1"/>
  <c r="DT125" i="1"/>
  <c r="DS125" i="1"/>
  <c r="DR125" i="1"/>
  <c r="DQ125" i="1"/>
  <c r="DP125" i="1"/>
  <c r="DO125" i="1"/>
  <c r="DN125" i="1"/>
  <c r="DM125" i="1"/>
  <c r="DL125" i="1"/>
  <c r="DK125" i="1"/>
  <c r="DJ125" i="1"/>
  <c r="DI125" i="1"/>
  <c r="DH125" i="1"/>
  <c r="DF125" i="1"/>
  <c r="DC125" i="1"/>
  <c r="CH125" i="1"/>
  <c r="CC125" i="1"/>
  <c r="CB125" i="1"/>
  <c r="CA125" i="1"/>
  <c r="BZ125" i="1"/>
  <c r="BY125" i="1"/>
  <c r="BX125" i="1"/>
  <c r="BW125" i="1"/>
  <c r="BV125" i="1"/>
  <c r="BU125" i="1"/>
  <c r="BT125" i="1"/>
  <c r="BS125" i="1"/>
  <c r="BR125" i="1"/>
  <c r="BQ125" i="1"/>
  <c r="BP125" i="1"/>
  <c r="BO125" i="1"/>
  <c r="BN125" i="1"/>
  <c r="BM125" i="1"/>
  <c r="BL125" i="1"/>
  <c r="BK125" i="1"/>
  <c r="BJ125" i="1"/>
  <c r="BH125" i="1"/>
  <c r="BE125" i="1"/>
  <c r="AJ125" i="1"/>
  <c r="AF125" i="1"/>
  <c r="K125" i="1"/>
  <c r="EB124" i="1"/>
  <c r="EA124" i="1"/>
  <c r="DZ124" i="1"/>
  <c r="DY124" i="1"/>
  <c r="DW124" i="1"/>
  <c r="DV124" i="1"/>
  <c r="DU124" i="1"/>
  <c r="DT124" i="1"/>
  <c r="DS124" i="1"/>
  <c r="DR124" i="1"/>
  <c r="DQ124" i="1"/>
  <c r="DP124" i="1"/>
  <c r="DO124" i="1"/>
  <c r="DN124" i="1"/>
  <c r="DM124" i="1"/>
  <c r="DL124" i="1"/>
  <c r="DK124" i="1"/>
  <c r="DJ124" i="1"/>
  <c r="DI124" i="1"/>
  <c r="DH124" i="1"/>
  <c r="DF124" i="1"/>
  <c r="CY124" i="1"/>
  <c r="CH124" i="1"/>
  <c r="CD124" i="1"/>
  <c r="CC124" i="1"/>
  <c r="CB124" i="1"/>
  <c r="CA124" i="1"/>
  <c r="BY124" i="1"/>
  <c r="BX124" i="1"/>
  <c r="BW124" i="1"/>
  <c r="BV124" i="1"/>
  <c r="BU124" i="1"/>
  <c r="BT124" i="1"/>
  <c r="BS124" i="1"/>
  <c r="BR124" i="1"/>
  <c r="BQ124" i="1"/>
  <c r="BP124" i="1"/>
  <c r="BO124" i="1"/>
  <c r="BN124" i="1"/>
  <c r="BM124" i="1"/>
  <c r="BL124" i="1"/>
  <c r="BK124" i="1"/>
  <c r="BJ124" i="1"/>
  <c r="BH124" i="1"/>
  <c r="BA124" i="1"/>
  <c r="AJ124" i="1"/>
  <c r="AB124" i="1"/>
  <c r="EB123" i="1"/>
  <c r="EA123" i="1"/>
  <c r="DZ123" i="1"/>
  <c r="DY123" i="1"/>
  <c r="DV123" i="1"/>
  <c r="DU123" i="1"/>
  <c r="DT123" i="1"/>
  <c r="DS123" i="1"/>
  <c r="DR123" i="1"/>
  <c r="DQ123" i="1"/>
  <c r="DP123" i="1"/>
  <c r="DO123" i="1"/>
  <c r="DN123" i="1"/>
  <c r="DM123" i="1"/>
  <c r="DL123" i="1"/>
  <c r="DK123" i="1"/>
  <c r="DJ123" i="1"/>
  <c r="DI123" i="1"/>
  <c r="DH123" i="1"/>
  <c r="DF123" i="1"/>
  <c r="CY123" i="1"/>
  <c r="DX123" i="1" s="1"/>
  <c r="CX123" i="1"/>
  <c r="CH123" i="1"/>
  <c r="CD123" i="1"/>
  <c r="CC123" i="1"/>
  <c r="CB123" i="1"/>
  <c r="CA123" i="1"/>
  <c r="BX123" i="1"/>
  <c r="BW123" i="1"/>
  <c r="BV123" i="1"/>
  <c r="BU123" i="1"/>
  <c r="BT123" i="1"/>
  <c r="BS123" i="1"/>
  <c r="BR123" i="1"/>
  <c r="BQ123" i="1"/>
  <c r="BP123" i="1"/>
  <c r="BO123" i="1"/>
  <c r="BN123" i="1"/>
  <c r="BM123" i="1"/>
  <c r="BL123" i="1"/>
  <c r="BK123" i="1"/>
  <c r="BJ123" i="1"/>
  <c r="BH123" i="1"/>
  <c r="BA123" i="1"/>
  <c r="BZ123" i="1" s="1"/>
  <c r="AZ123" i="1"/>
  <c r="AJ123" i="1"/>
  <c r="BI123" i="1" s="1"/>
  <c r="AA123" i="1"/>
  <c r="K123" i="1"/>
  <c r="I123" i="1"/>
  <c r="G123" i="1"/>
  <c r="ED123" i="1" s="1"/>
  <c r="EB122" i="1"/>
  <c r="EA122" i="1"/>
  <c r="DZ122" i="1"/>
  <c r="DY122" i="1"/>
  <c r="DX122" i="1"/>
  <c r="DV122" i="1"/>
  <c r="DU122" i="1"/>
  <c r="DT122" i="1"/>
  <c r="DS122" i="1"/>
  <c r="DR122" i="1"/>
  <c r="DQ122" i="1"/>
  <c r="DP122" i="1"/>
  <c r="DO122" i="1"/>
  <c r="DN122" i="1"/>
  <c r="DM122" i="1"/>
  <c r="DL122" i="1"/>
  <c r="DK122" i="1"/>
  <c r="DJ122" i="1"/>
  <c r="DI122" i="1"/>
  <c r="DH122" i="1"/>
  <c r="DF122" i="1"/>
  <c r="CX122" i="1"/>
  <c r="DW122" i="1" s="1"/>
  <c r="CH122" i="1"/>
  <c r="CD122" i="1"/>
  <c r="CC122" i="1"/>
  <c r="CB122" i="1"/>
  <c r="CA122" i="1"/>
  <c r="BZ122" i="1"/>
  <c r="BX122" i="1"/>
  <c r="BW122" i="1"/>
  <c r="BV122" i="1"/>
  <c r="BU122" i="1"/>
  <c r="BT122" i="1"/>
  <c r="BS122" i="1"/>
  <c r="BR122" i="1"/>
  <c r="BQ122" i="1"/>
  <c r="BP122" i="1"/>
  <c r="BO122" i="1"/>
  <c r="BN122" i="1"/>
  <c r="BM122" i="1"/>
  <c r="BL122" i="1"/>
  <c r="BK122" i="1"/>
  <c r="BJ122" i="1"/>
  <c r="BH122" i="1"/>
  <c r="AZ122" i="1"/>
  <c r="BY122" i="1" s="1"/>
  <c r="AJ122" i="1"/>
  <c r="I122" i="1"/>
  <c r="G122" i="1"/>
  <c r="ED122" i="1" s="1"/>
  <c r="EB121" i="1"/>
  <c r="EA121" i="1"/>
  <c r="DZ121" i="1"/>
  <c r="DY121" i="1"/>
  <c r="DX121" i="1"/>
  <c r="DW121" i="1"/>
  <c r="DV121" i="1"/>
  <c r="DU121" i="1"/>
  <c r="DT121" i="1"/>
  <c r="DS121" i="1"/>
  <c r="DR121" i="1"/>
  <c r="DQ121" i="1"/>
  <c r="DP121" i="1"/>
  <c r="DO121" i="1"/>
  <c r="DN121" i="1"/>
  <c r="DM121" i="1"/>
  <c r="DL121" i="1"/>
  <c r="DK121" i="1"/>
  <c r="DJ121" i="1"/>
  <c r="DI121" i="1"/>
  <c r="DH121" i="1"/>
  <c r="DF121" i="1"/>
  <c r="CH121" i="1"/>
  <c r="CD121" i="1"/>
  <c r="CC121" i="1"/>
  <c r="CB121" i="1"/>
  <c r="CA121" i="1"/>
  <c r="BZ121" i="1"/>
  <c r="BY121" i="1"/>
  <c r="BX121" i="1"/>
  <c r="BW121" i="1"/>
  <c r="BV121" i="1"/>
  <c r="BU121" i="1"/>
  <c r="BT121" i="1"/>
  <c r="BS121" i="1"/>
  <c r="BR121" i="1"/>
  <c r="BQ121" i="1"/>
  <c r="BP121" i="1"/>
  <c r="BO121" i="1"/>
  <c r="BN121" i="1"/>
  <c r="BM121" i="1"/>
  <c r="BL121" i="1"/>
  <c r="BK121" i="1"/>
  <c r="BJ121" i="1"/>
  <c r="BH121" i="1"/>
  <c r="AJ121" i="1"/>
  <c r="AH121" i="1" s="1"/>
  <c r="K121" i="1"/>
  <c r="G121" i="1" s="1"/>
  <c r="EB120" i="1"/>
  <c r="EA120" i="1"/>
  <c r="DZ120" i="1"/>
  <c r="DY120" i="1"/>
  <c r="DX120" i="1"/>
  <c r="DV120" i="1"/>
  <c r="DU120" i="1"/>
  <c r="DT120" i="1"/>
  <c r="DS120" i="1"/>
  <c r="DR120" i="1"/>
  <c r="DQ120" i="1"/>
  <c r="DP120" i="1"/>
  <c r="DO120" i="1"/>
  <c r="DN120" i="1"/>
  <c r="DM120" i="1"/>
  <c r="DL120" i="1"/>
  <c r="DK120" i="1"/>
  <c r="DJ120" i="1"/>
  <c r="DI120" i="1"/>
  <c r="DH120" i="1"/>
  <c r="DF120" i="1"/>
  <c r="CX120" i="1"/>
  <c r="CH120" i="1"/>
  <c r="CD120" i="1"/>
  <c r="CC120" i="1"/>
  <c r="CB120" i="1"/>
  <c r="CA120" i="1"/>
  <c r="BZ120" i="1"/>
  <c r="BX120" i="1"/>
  <c r="BW120" i="1"/>
  <c r="BV120" i="1"/>
  <c r="BU120" i="1"/>
  <c r="BT120" i="1"/>
  <c r="BS120" i="1"/>
  <c r="BR120" i="1"/>
  <c r="BQ120" i="1"/>
  <c r="BP120" i="1"/>
  <c r="BO120" i="1"/>
  <c r="BN120" i="1"/>
  <c r="BM120" i="1"/>
  <c r="BL120" i="1"/>
  <c r="BK120" i="1"/>
  <c r="BJ120" i="1"/>
  <c r="BH120" i="1"/>
  <c r="AZ120" i="1"/>
  <c r="AJ120" i="1"/>
  <c r="AA120" i="1"/>
  <c r="G120" i="1" s="1"/>
  <c r="EA119" i="1"/>
  <c r="DZ119" i="1"/>
  <c r="DY119" i="1"/>
  <c r="DX119" i="1"/>
  <c r="DV119" i="1"/>
  <c r="DU119" i="1"/>
  <c r="DT119" i="1"/>
  <c r="DS119" i="1"/>
  <c r="DR119" i="1"/>
  <c r="DQ119" i="1"/>
  <c r="DP119" i="1"/>
  <c r="DO119" i="1"/>
  <c r="DN119" i="1"/>
  <c r="DM119" i="1"/>
  <c r="DL119" i="1"/>
  <c r="DK119" i="1"/>
  <c r="DJ119" i="1"/>
  <c r="DH119" i="1"/>
  <c r="DC119" i="1"/>
  <c r="EB119" i="1" s="1"/>
  <c r="CX119" i="1"/>
  <c r="DW119" i="1" s="1"/>
  <c r="CJ119" i="1"/>
  <c r="CH119" i="1"/>
  <c r="DG119" i="1" s="1"/>
  <c r="CG119" i="1"/>
  <c r="CC119" i="1"/>
  <c r="CB119" i="1"/>
  <c r="CA119" i="1"/>
  <c r="BZ119" i="1"/>
  <c r="BX119" i="1"/>
  <c r="BW119" i="1"/>
  <c r="BV119" i="1"/>
  <c r="BU119" i="1"/>
  <c r="BT119" i="1"/>
  <c r="BS119" i="1"/>
  <c r="BR119" i="1"/>
  <c r="BQ119" i="1"/>
  <c r="BP119" i="1"/>
  <c r="BO119" i="1"/>
  <c r="BN119" i="1"/>
  <c r="BM119" i="1"/>
  <c r="BL119" i="1"/>
  <c r="BJ119" i="1"/>
  <c r="BE119" i="1"/>
  <c r="CD119" i="1" s="1"/>
  <c r="AZ119" i="1"/>
  <c r="BY119" i="1" s="1"/>
  <c r="AL119" i="1"/>
  <c r="AJ119" i="1"/>
  <c r="BI119" i="1" s="1"/>
  <c r="AI119" i="1"/>
  <c r="M119" i="1"/>
  <c r="J119" i="1"/>
  <c r="EB118" i="1"/>
  <c r="EA118" i="1"/>
  <c r="DZ118" i="1"/>
  <c r="DY118" i="1"/>
  <c r="DV118" i="1"/>
  <c r="DU118" i="1"/>
  <c r="DT118" i="1"/>
  <c r="DS118" i="1"/>
  <c r="DR118" i="1"/>
  <c r="DQ118" i="1"/>
  <c r="DP118" i="1"/>
  <c r="DO118" i="1"/>
  <c r="DN118" i="1"/>
  <c r="DM118" i="1"/>
  <c r="DL118" i="1"/>
  <c r="DK118" i="1"/>
  <c r="DJ118" i="1"/>
  <c r="DI118" i="1"/>
  <c r="DH118" i="1"/>
  <c r="DF118" i="1"/>
  <c r="CY118" i="1"/>
  <c r="CX118" i="1"/>
  <c r="DW118" i="1" s="1"/>
  <c r="CH118" i="1"/>
  <c r="DG118" i="1" s="1"/>
  <c r="CD118" i="1"/>
  <c r="CC118" i="1"/>
  <c r="CB118" i="1"/>
  <c r="CA118" i="1"/>
  <c r="BX118" i="1"/>
  <c r="BW118" i="1"/>
  <c r="BV118" i="1"/>
  <c r="BU118" i="1"/>
  <c r="BT118" i="1"/>
  <c r="BS118" i="1"/>
  <c r="BR118" i="1"/>
  <c r="BQ118" i="1"/>
  <c r="BP118" i="1"/>
  <c r="BO118" i="1"/>
  <c r="BN118" i="1"/>
  <c r="BM118" i="1"/>
  <c r="BL118" i="1"/>
  <c r="BK118" i="1"/>
  <c r="BJ118" i="1"/>
  <c r="BH118" i="1"/>
  <c r="BA118" i="1"/>
  <c r="AZ118" i="1"/>
  <c r="AJ118" i="1"/>
  <c r="AA118" i="1"/>
  <c r="EB117" i="1"/>
  <c r="EA117" i="1"/>
  <c r="DZ117" i="1"/>
  <c r="DY117" i="1"/>
  <c r="DX117" i="1"/>
  <c r="DV117" i="1"/>
  <c r="DU117" i="1"/>
  <c r="DT117" i="1"/>
  <c r="DS117" i="1"/>
  <c r="DR117" i="1"/>
  <c r="DQ117" i="1"/>
  <c r="DP117" i="1"/>
  <c r="DO117" i="1"/>
  <c r="DN117" i="1"/>
  <c r="DM117" i="1"/>
  <c r="DL117" i="1"/>
  <c r="DK117" i="1"/>
  <c r="DJ117" i="1"/>
  <c r="DI117" i="1"/>
  <c r="DH117" i="1"/>
  <c r="DF117" i="1"/>
  <c r="CX117" i="1"/>
  <c r="CH117" i="1"/>
  <c r="CD117" i="1"/>
  <c r="CC117" i="1"/>
  <c r="CB117" i="1"/>
  <c r="CA117" i="1"/>
  <c r="BZ117" i="1"/>
  <c r="BX117" i="1"/>
  <c r="BW117" i="1"/>
  <c r="BV117" i="1"/>
  <c r="BU117" i="1"/>
  <c r="BT117" i="1"/>
  <c r="BS117" i="1"/>
  <c r="BR117" i="1"/>
  <c r="BQ117" i="1"/>
  <c r="BP117" i="1"/>
  <c r="BO117" i="1"/>
  <c r="BN117" i="1"/>
  <c r="BM117" i="1"/>
  <c r="BL117" i="1"/>
  <c r="BK117" i="1"/>
  <c r="BJ117" i="1"/>
  <c r="BH117" i="1"/>
  <c r="AZ117" i="1"/>
  <c r="AJ117" i="1"/>
  <c r="AA117" i="1"/>
  <c r="G117" i="1" s="1"/>
  <c r="ED117" i="1" s="1"/>
  <c r="EB116" i="1"/>
  <c r="EA116" i="1"/>
  <c r="DZ116" i="1"/>
  <c r="DY116" i="1"/>
  <c r="DX116" i="1"/>
  <c r="DV116" i="1"/>
  <c r="DU116" i="1"/>
  <c r="DT116" i="1"/>
  <c r="DS116" i="1"/>
  <c r="DR116" i="1"/>
  <c r="DQ116" i="1"/>
  <c r="DP116" i="1"/>
  <c r="DO116" i="1"/>
  <c r="DN116" i="1"/>
  <c r="DM116" i="1"/>
  <c r="DL116" i="1"/>
  <c r="DK116" i="1"/>
  <c r="DJ116" i="1"/>
  <c r="DI116" i="1"/>
  <c r="DH116" i="1"/>
  <c r="DF116" i="1"/>
  <c r="CX116" i="1"/>
  <c r="CH116" i="1"/>
  <c r="DG116" i="1" s="1"/>
  <c r="CD116" i="1"/>
  <c r="CC116" i="1"/>
  <c r="CB116" i="1"/>
  <c r="CA116" i="1"/>
  <c r="BZ116" i="1"/>
  <c r="BX116" i="1"/>
  <c r="BW116" i="1"/>
  <c r="BV116" i="1"/>
  <c r="BU116" i="1"/>
  <c r="BT116" i="1"/>
  <c r="BS116" i="1"/>
  <c r="BR116" i="1"/>
  <c r="BQ116" i="1"/>
  <c r="BP116" i="1"/>
  <c r="BO116" i="1"/>
  <c r="BN116" i="1"/>
  <c r="BM116" i="1"/>
  <c r="BL116" i="1"/>
  <c r="BK116" i="1"/>
  <c r="BJ116" i="1"/>
  <c r="BH116" i="1"/>
  <c r="AZ116" i="1"/>
  <c r="AJ116" i="1"/>
  <c r="BI116" i="1" s="1"/>
  <c r="AA116" i="1"/>
  <c r="EA115" i="1"/>
  <c r="DZ115" i="1"/>
  <c r="DY115" i="1"/>
  <c r="DX115" i="1"/>
  <c r="DV115" i="1"/>
  <c r="DU115" i="1"/>
  <c r="DT115" i="1"/>
  <c r="DS115" i="1"/>
  <c r="DR115" i="1"/>
  <c r="DQ115" i="1"/>
  <c r="DP115" i="1"/>
  <c r="DO115" i="1"/>
  <c r="DN115" i="1"/>
  <c r="DM115" i="1"/>
  <c r="DL115" i="1"/>
  <c r="DK115" i="1"/>
  <c r="DJ115" i="1"/>
  <c r="DI115" i="1"/>
  <c r="DH115" i="1"/>
  <c r="DC115" i="1"/>
  <c r="CX115" i="1"/>
  <c r="DW115" i="1" s="1"/>
  <c r="CH115" i="1"/>
  <c r="CC115" i="1"/>
  <c r="CB115" i="1"/>
  <c r="CA115" i="1"/>
  <c r="BZ115" i="1"/>
  <c r="BX115" i="1"/>
  <c r="BW115" i="1"/>
  <c r="BV115" i="1"/>
  <c r="BU115" i="1"/>
  <c r="BT115" i="1"/>
  <c r="BS115" i="1"/>
  <c r="BR115" i="1"/>
  <c r="BQ115" i="1"/>
  <c r="BP115" i="1"/>
  <c r="BO115" i="1"/>
  <c r="BN115" i="1"/>
  <c r="BM115" i="1"/>
  <c r="BL115" i="1"/>
  <c r="BK115" i="1"/>
  <c r="BJ115" i="1"/>
  <c r="BH115" i="1"/>
  <c r="BE115" i="1"/>
  <c r="AZ115" i="1"/>
  <c r="BY115" i="1" s="1"/>
  <c r="AJ115" i="1"/>
  <c r="AF115" i="1"/>
  <c r="K115" i="1"/>
  <c r="J115" i="1"/>
  <c r="DF115" i="1" s="1"/>
  <c r="EA114" i="1"/>
  <c r="DZ114" i="1"/>
  <c r="DY114" i="1"/>
  <c r="DX114" i="1"/>
  <c r="DV114" i="1"/>
  <c r="DU114" i="1"/>
  <c r="DT114" i="1"/>
  <c r="DS114" i="1"/>
  <c r="DR114" i="1"/>
  <c r="DP114" i="1"/>
  <c r="DO114" i="1"/>
  <c r="DN114" i="1"/>
  <c r="DM114" i="1"/>
  <c r="DK114" i="1"/>
  <c r="DJ114" i="1"/>
  <c r="DI114" i="1"/>
  <c r="DH114" i="1"/>
  <c r="DG114" i="1"/>
  <c r="DF114" i="1"/>
  <c r="DC114" i="1"/>
  <c r="CX114" i="1"/>
  <c r="DW114" i="1" s="1"/>
  <c r="CR114" i="1"/>
  <c r="DQ114" i="1" s="1"/>
  <c r="CM114" i="1"/>
  <c r="DL114" i="1" s="1"/>
  <c r="CC114" i="1"/>
  <c r="CB114" i="1"/>
  <c r="CA114" i="1"/>
  <c r="BZ114" i="1"/>
  <c r="BX114" i="1"/>
  <c r="BW114" i="1"/>
  <c r="BV114" i="1"/>
  <c r="BU114" i="1"/>
  <c r="BT114" i="1"/>
  <c r="BR114" i="1"/>
  <c r="BQ114" i="1"/>
  <c r="BP114" i="1"/>
  <c r="BO114" i="1"/>
  <c r="BM114" i="1"/>
  <c r="BL114" i="1"/>
  <c r="BK114" i="1"/>
  <c r="BJ114" i="1"/>
  <c r="BI114" i="1"/>
  <c r="BH114" i="1"/>
  <c r="BE114" i="1"/>
  <c r="AZ114" i="1"/>
  <c r="AT114" i="1"/>
  <c r="BS114" i="1" s="1"/>
  <c r="AO114" i="1"/>
  <c r="AF114" i="1"/>
  <c r="G114" i="1"/>
  <c r="EA113" i="1"/>
  <c r="DZ113" i="1"/>
  <c r="DY113" i="1"/>
  <c r="DX113" i="1"/>
  <c r="DW113" i="1"/>
  <c r="DV113" i="1"/>
  <c r="DU113" i="1"/>
  <c r="DT113" i="1"/>
  <c r="DS113" i="1"/>
  <c r="DR113" i="1"/>
  <c r="DQ113" i="1"/>
  <c r="DP113" i="1"/>
  <c r="DN113" i="1"/>
  <c r="DM113" i="1"/>
  <c r="DK113" i="1"/>
  <c r="DJ113" i="1"/>
  <c r="DI113" i="1"/>
  <c r="DH113" i="1"/>
  <c r="DG113" i="1"/>
  <c r="DF113" i="1"/>
  <c r="DC113" i="1"/>
  <c r="CM113" i="1"/>
  <c r="CC113" i="1"/>
  <c r="CB113" i="1"/>
  <c r="CA113" i="1"/>
  <c r="BZ113" i="1"/>
  <c r="BY113" i="1"/>
  <c r="BX113" i="1"/>
  <c r="BW113" i="1"/>
  <c r="BV113" i="1"/>
  <c r="BU113" i="1"/>
  <c r="BT113" i="1"/>
  <c r="BS113" i="1"/>
  <c r="BR113" i="1"/>
  <c r="BP113" i="1"/>
  <c r="BO113" i="1"/>
  <c r="BM113" i="1"/>
  <c r="BL113" i="1"/>
  <c r="BK113" i="1"/>
  <c r="BJ113" i="1"/>
  <c r="BI113" i="1"/>
  <c r="BH113" i="1"/>
  <c r="BE113" i="1"/>
  <c r="AO113" i="1"/>
  <c r="AF113" i="1"/>
  <c r="S113" i="1"/>
  <c r="DO113" i="1" s="1"/>
  <c r="EA112" i="1"/>
  <c r="DZ112" i="1"/>
  <c r="DY112" i="1"/>
  <c r="DX112" i="1"/>
  <c r="DW112" i="1"/>
  <c r="DV112" i="1"/>
  <c r="DU112" i="1"/>
  <c r="DT112" i="1"/>
  <c r="DS112" i="1"/>
  <c r="DR112" i="1"/>
  <c r="DQ112" i="1"/>
  <c r="DP112" i="1"/>
  <c r="DO112" i="1"/>
  <c r="DN112" i="1"/>
  <c r="DM112" i="1"/>
  <c r="DL112" i="1"/>
  <c r="DK112" i="1"/>
  <c r="DJ112" i="1"/>
  <c r="DI112" i="1"/>
  <c r="DH112" i="1"/>
  <c r="DG112" i="1"/>
  <c r="DF112" i="1"/>
  <c r="DC112" i="1"/>
  <c r="CF112" i="1" s="1"/>
  <c r="CC112" i="1"/>
  <c r="CB112" i="1"/>
  <c r="CA112" i="1"/>
  <c r="BZ112" i="1"/>
  <c r="BY112" i="1"/>
  <c r="BX112" i="1"/>
  <c r="BW112" i="1"/>
  <c r="BV112" i="1"/>
  <c r="BU112" i="1"/>
  <c r="BT112" i="1"/>
  <c r="BS112" i="1"/>
  <c r="BR112" i="1"/>
  <c r="BQ112" i="1"/>
  <c r="BP112" i="1"/>
  <c r="BO112" i="1"/>
  <c r="BN112" i="1"/>
  <c r="BM112" i="1"/>
  <c r="BL112" i="1"/>
  <c r="BK112" i="1"/>
  <c r="BJ112" i="1"/>
  <c r="BI112" i="1"/>
  <c r="BH112" i="1"/>
  <c r="BE112" i="1"/>
  <c r="AH112" i="1" s="1"/>
  <c r="AF112" i="1"/>
  <c r="EA111" i="1"/>
  <c r="DZ111" i="1"/>
  <c r="DY111" i="1"/>
  <c r="DX111" i="1"/>
  <c r="DW111" i="1"/>
  <c r="DV111" i="1"/>
  <c r="DU111" i="1"/>
  <c r="DT111" i="1"/>
  <c r="DS111" i="1"/>
  <c r="DR111" i="1"/>
  <c r="DQ111" i="1"/>
  <c r="DP111" i="1"/>
  <c r="DO111" i="1"/>
  <c r="DN111" i="1"/>
  <c r="DM111" i="1"/>
  <c r="DL111" i="1"/>
  <c r="DK111" i="1"/>
  <c r="DJ111" i="1"/>
  <c r="DI111" i="1"/>
  <c r="DH111" i="1"/>
  <c r="DG111" i="1"/>
  <c r="DF111" i="1"/>
  <c r="DC111" i="1"/>
  <c r="CF111" i="1" s="1"/>
  <c r="CC111" i="1"/>
  <c r="CB111" i="1"/>
  <c r="CA111" i="1"/>
  <c r="BZ111" i="1"/>
  <c r="BY111" i="1"/>
  <c r="BX111" i="1"/>
  <c r="BW111" i="1"/>
  <c r="BV111" i="1"/>
  <c r="BU111" i="1"/>
  <c r="BT111" i="1"/>
  <c r="BS111" i="1"/>
  <c r="BR111" i="1"/>
  <c r="BQ111" i="1"/>
  <c r="BP111" i="1"/>
  <c r="BO111" i="1"/>
  <c r="BN111" i="1"/>
  <c r="BM111" i="1"/>
  <c r="BL111" i="1"/>
  <c r="BK111" i="1"/>
  <c r="BJ111" i="1"/>
  <c r="BI111" i="1"/>
  <c r="BH111" i="1"/>
  <c r="BE111" i="1"/>
  <c r="AH111" i="1" s="1"/>
  <c r="AF111" i="1"/>
  <c r="G111" i="1" s="1"/>
  <c r="EB110" i="1"/>
  <c r="EA110" i="1"/>
  <c r="DZ110" i="1"/>
  <c r="DY110" i="1"/>
  <c r="DX110" i="1"/>
  <c r="DW110" i="1"/>
  <c r="DV110" i="1"/>
  <c r="DU110" i="1"/>
  <c r="DT110" i="1"/>
  <c r="DS110" i="1"/>
  <c r="DR110" i="1"/>
  <c r="DQ110" i="1"/>
  <c r="DP110" i="1"/>
  <c r="DO110" i="1"/>
  <c r="DN110" i="1"/>
  <c r="DM110" i="1"/>
  <c r="DL110" i="1"/>
  <c r="DK110" i="1"/>
  <c r="DJ110" i="1"/>
  <c r="DI110" i="1"/>
  <c r="DH110" i="1"/>
  <c r="DG110" i="1"/>
  <c r="DF110" i="1"/>
  <c r="DD110" i="1"/>
  <c r="CF110" i="1"/>
  <c r="CD110" i="1"/>
  <c r="CC110" i="1"/>
  <c r="CB110" i="1"/>
  <c r="CA110" i="1"/>
  <c r="BZ110" i="1"/>
  <c r="BY110" i="1"/>
  <c r="BX110" i="1"/>
  <c r="BW110" i="1"/>
  <c r="BV110" i="1"/>
  <c r="BU110" i="1"/>
  <c r="BT110" i="1"/>
  <c r="BS110" i="1"/>
  <c r="BR110" i="1"/>
  <c r="BQ110" i="1"/>
  <c r="BP110" i="1"/>
  <c r="BO110" i="1"/>
  <c r="BN110" i="1"/>
  <c r="BM110" i="1"/>
  <c r="BL110" i="1"/>
  <c r="BK110" i="1"/>
  <c r="BJ110" i="1"/>
  <c r="BI110" i="1"/>
  <c r="BH110" i="1"/>
  <c r="BG110" i="1" s="1"/>
  <c r="AH110" i="1"/>
  <c r="G110" i="1"/>
  <c r="I110" i="1" s="1"/>
  <c r="EA109" i="1"/>
  <c r="DZ109" i="1"/>
  <c r="DY109" i="1"/>
  <c r="DX109" i="1"/>
  <c r="DW109" i="1"/>
  <c r="DV109" i="1"/>
  <c r="DU109" i="1"/>
  <c r="DT109" i="1"/>
  <c r="DS109" i="1"/>
  <c r="DR109" i="1"/>
  <c r="DQ109" i="1"/>
  <c r="DP109" i="1"/>
  <c r="DO109" i="1"/>
  <c r="DN109" i="1"/>
  <c r="DM109" i="1"/>
  <c r="DL109" i="1"/>
  <c r="DK109" i="1"/>
  <c r="DJ109" i="1"/>
  <c r="DI109" i="1"/>
  <c r="DH109" i="1"/>
  <c r="DF109" i="1"/>
  <c r="DC109" i="1"/>
  <c r="CF109" i="1" s="1"/>
  <c r="CC109" i="1"/>
  <c r="CB109" i="1"/>
  <c r="CA109" i="1"/>
  <c r="BZ109" i="1"/>
  <c r="BY109" i="1"/>
  <c r="BX109" i="1"/>
  <c r="BW109" i="1"/>
  <c r="BV109" i="1"/>
  <c r="BU109" i="1"/>
  <c r="BT109" i="1"/>
  <c r="BS109" i="1"/>
  <c r="BR109" i="1"/>
  <c r="BQ109" i="1"/>
  <c r="BP109" i="1"/>
  <c r="BO109" i="1"/>
  <c r="BN109" i="1"/>
  <c r="BM109" i="1"/>
  <c r="BL109" i="1"/>
  <c r="BK109" i="1"/>
  <c r="BJ109" i="1"/>
  <c r="BH109" i="1"/>
  <c r="BE109" i="1"/>
  <c r="AH109" i="1" s="1"/>
  <c r="AF109" i="1"/>
  <c r="K109" i="1"/>
  <c r="EB108" i="1"/>
  <c r="EA108" i="1"/>
  <c r="DZ108" i="1"/>
  <c r="DY108" i="1"/>
  <c r="DX108" i="1"/>
  <c r="DW108" i="1"/>
  <c r="DV108" i="1"/>
  <c r="DU108" i="1"/>
  <c r="DT108" i="1"/>
  <c r="DS108" i="1"/>
  <c r="DR108" i="1"/>
  <c r="DQ108" i="1"/>
  <c r="DP108" i="1"/>
  <c r="DO108" i="1"/>
  <c r="DN108" i="1"/>
  <c r="DL108" i="1"/>
  <c r="DK108" i="1"/>
  <c r="DJ108" i="1"/>
  <c r="DH108" i="1"/>
  <c r="DG108" i="1"/>
  <c r="DF108" i="1"/>
  <c r="CJ108" i="1"/>
  <c r="CF108" i="1" s="1"/>
  <c r="CD108" i="1"/>
  <c r="CC108" i="1"/>
  <c r="CB108" i="1"/>
  <c r="CA108" i="1"/>
  <c r="BZ108" i="1"/>
  <c r="BY108" i="1"/>
  <c r="BX108" i="1"/>
  <c r="BW108" i="1"/>
  <c r="BV108" i="1"/>
  <c r="BU108" i="1"/>
  <c r="BT108" i="1"/>
  <c r="BS108" i="1"/>
  <c r="BR108" i="1"/>
  <c r="BQ108" i="1"/>
  <c r="BP108" i="1"/>
  <c r="BN108" i="1"/>
  <c r="BM108" i="1"/>
  <c r="BL108" i="1"/>
  <c r="BJ108" i="1"/>
  <c r="BI108" i="1"/>
  <c r="BH108" i="1"/>
  <c r="AL108" i="1"/>
  <c r="AH108" i="1" s="1"/>
  <c r="Q108" i="1"/>
  <c r="DM108" i="1" s="1"/>
  <c r="M108" i="1"/>
  <c r="EA107" i="1"/>
  <c r="DZ107" i="1"/>
  <c r="DY107" i="1"/>
  <c r="DX107" i="1"/>
  <c r="DW107" i="1"/>
  <c r="DV107" i="1"/>
  <c r="DU107" i="1"/>
  <c r="DT107" i="1"/>
  <c r="DS107" i="1"/>
  <c r="DR107" i="1"/>
  <c r="DQ107" i="1"/>
  <c r="DP107" i="1"/>
  <c r="DO107" i="1"/>
  <c r="DN107" i="1"/>
  <c r="DM107" i="1"/>
  <c r="DL107" i="1"/>
  <c r="DK107" i="1"/>
  <c r="DJ107" i="1"/>
  <c r="DH107" i="1"/>
  <c r="DF107" i="1"/>
  <c r="DC107" i="1"/>
  <c r="CJ107" i="1"/>
  <c r="CC107" i="1"/>
  <c r="CB107" i="1"/>
  <c r="CA107" i="1"/>
  <c r="BZ107" i="1"/>
  <c r="BY107" i="1"/>
  <c r="BX107" i="1"/>
  <c r="BW107" i="1"/>
  <c r="BV107" i="1"/>
  <c r="BU107" i="1"/>
  <c r="BT107" i="1"/>
  <c r="BS107" i="1"/>
  <c r="BR107" i="1"/>
  <c r="BQ107" i="1"/>
  <c r="BP107" i="1"/>
  <c r="BO107" i="1"/>
  <c r="BN107" i="1"/>
  <c r="BM107" i="1"/>
  <c r="BL107" i="1"/>
  <c r="BJ107" i="1"/>
  <c r="BH107" i="1"/>
  <c r="BE107" i="1"/>
  <c r="AL107" i="1"/>
  <c r="AH107" i="1" s="1"/>
  <c r="AF107" i="1"/>
  <c r="M107" i="1"/>
  <c r="K107" i="1"/>
  <c r="DG107" i="1" s="1"/>
  <c r="EA106" i="1"/>
  <c r="DZ106" i="1"/>
  <c r="DY106" i="1"/>
  <c r="DX106" i="1"/>
  <c r="DW106" i="1"/>
  <c r="DV106" i="1"/>
  <c r="DU106" i="1"/>
  <c r="DT106" i="1"/>
  <c r="DS106" i="1"/>
  <c r="DR106" i="1"/>
  <c r="DP106" i="1"/>
  <c r="DO106" i="1"/>
  <c r="DN106" i="1"/>
  <c r="DL106" i="1"/>
  <c r="DK106" i="1"/>
  <c r="DJ106" i="1"/>
  <c r="DH106" i="1"/>
  <c r="DG106" i="1"/>
  <c r="DF106" i="1"/>
  <c r="DC106" i="1"/>
  <c r="CR106" i="1"/>
  <c r="DQ106" i="1" s="1"/>
  <c r="CN106" i="1"/>
  <c r="CJ106" i="1"/>
  <c r="CC106" i="1"/>
  <c r="CB106" i="1"/>
  <c r="CA106" i="1"/>
  <c r="BZ106" i="1"/>
  <c r="BY106" i="1"/>
  <c r="BX106" i="1"/>
  <c r="BW106" i="1"/>
  <c r="BV106" i="1"/>
  <c r="BU106" i="1"/>
  <c r="BT106" i="1"/>
  <c r="BR106" i="1"/>
  <c r="BQ106" i="1"/>
  <c r="BP106" i="1"/>
  <c r="BN106" i="1"/>
  <c r="BM106" i="1"/>
  <c r="BL106" i="1"/>
  <c r="BJ106" i="1"/>
  <c r="BI106" i="1"/>
  <c r="BH106" i="1"/>
  <c r="BE106" i="1"/>
  <c r="AT106" i="1"/>
  <c r="AP106" i="1"/>
  <c r="BO106" i="1" s="1"/>
  <c r="AL106" i="1"/>
  <c r="AF106" i="1"/>
  <c r="U106" i="1"/>
  <c r="Q106" i="1"/>
  <c r="M106" i="1"/>
  <c r="EA105" i="1"/>
  <c r="DZ105" i="1"/>
  <c r="DX105" i="1"/>
  <c r="DW105" i="1"/>
  <c r="DV105" i="1"/>
  <c r="DU105" i="1"/>
  <c r="DT105" i="1"/>
  <c r="DS105" i="1"/>
  <c r="DR105" i="1"/>
  <c r="DP105" i="1"/>
  <c r="DO105" i="1"/>
  <c r="DN105" i="1"/>
  <c r="DM105" i="1"/>
  <c r="DL105" i="1"/>
  <c r="DK105" i="1"/>
  <c r="DJ105" i="1"/>
  <c r="DH105" i="1"/>
  <c r="DG105" i="1"/>
  <c r="DF105" i="1"/>
  <c r="CZ105" i="1"/>
  <c r="CZ134" i="1" s="1"/>
  <c r="CJ105" i="1"/>
  <c r="CC105" i="1"/>
  <c r="CB105" i="1"/>
  <c r="BZ105" i="1"/>
  <c r="BY105" i="1"/>
  <c r="BX105" i="1"/>
  <c r="BW105" i="1"/>
  <c r="BV105" i="1"/>
  <c r="BU105" i="1"/>
  <c r="BT105" i="1"/>
  <c r="BR105" i="1"/>
  <c r="BQ105" i="1"/>
  <c r="BP105" i="1"/>
  <c r="BO105" i="1"/>
  <c r="BN105" i="1"/>
  <c r="BM105" i="1"/>
  <c r="BL105" i="1"/>
  <c r="BJ105" i="1"/>
  <c r="BI105" i="1"/>
  <c r="BH105" i="1"/>
  <c r="BB105" i="1"/>
  <c r="BB134" i="1" s="1"/>
  <c r="AL105" i="1"/>
  <c r="AF105" i="1"/>
  <c r="CD105" i="1" s="1"/>
  <c r="AC105" i="1"/>
  <c r="U105" i="1"/>
  <c r="G105" i="1" s="1"/>
  <c r="EA104" i="1"/>
  <c r="DZ104" i="1"/>
  <c r="DY104" i="1"/>
  <c r="DX104" i="1"/>
  <c r="DW104" i="1"/>
  <c r="DV104" i="1"/>
  <c r="DU104" i="1"/>
  <c r="DT104" i="1"/>
  <c r="DS104" i="1"/>
  <c r="DR104" i="1"/>
  <c r="DQ104" i="1"/>
  <c r="DP104" i="1"/>
  <c r="DO104" i="1"/>
  <c r="DN104" i="1"/>
  <c r="DM104" i="1"/>
  <c r="DL104" i="1"/>
  <c r="DK104" i="1"/>
  <c r="DJ104" i="1"/>
  <c r="DH104" i="1"/>
  <c r="DF104" i="1"/>
  <c r="DC104" i="1"/>
  <c r="CJ104" i="1"/>
  <c r="CC104" i="1"/>
  <c r="CB104" i="1"/>
  <c r="CA104" i="1"/>
  <c r="BZ104" i="1"/>
  <c r="BY104" i="1"/>
  <c r="BX104" i="1"/>
  <c r="BW104" i="1"/>
  <c r="BV104" i="1"/>
  <c r="BU104" i="1"/>
  <c r="BT104" i="1"/>
  <c r="BS104" i="1"/>
  <c r="BR104" i="1"/>
  <c r="BQ104" i="1"/>
  <c r="BP104" i="1"/>
  <c r="BO104" i="1"/>
  <c r="BN104" i="1"/>
  <c r="BM104" i="1"/>
  <c r="BL104" i="1"/>
  <c r="BJ104" i="1"/>
  <c r="BH104" i="1"/>
  <c r="BE104" i="1"/>
  <c r="CD104" i="1" s="1"/>
  <c r="AL104" i="1"/>
  <c r="AF104" i="1"/>
  <c r="M104" i="1"/>
  <c r="K104" i="1"/>
  <c r="BI104" i="1" s="1"/>
  <c r="DZ103" i="1"/>
  <c r="DY103" i="1"/>
  <c r="DX103" i="1"/>
  <c r="DW103" i="1"/>
  <c r="DV103" i="1"/>
  <c r="DU103" i="1"/>
  <c r="DT103" i="1"/>
  <c r="DS103" i="1"/>
  <c r="DR103" i="1"/>
  <c r="DQ103" i="1"/>
  <c r="DP103" i="1"/>
  <c r="DN103" i="1"/>
  <c r="DL103" i="1"/>
  <c r="DK103" i="1"/>
  <c r="DJ103" i="1"/>
  <c r="DH103" i="1"/>
  <c r="DF103" i="1"/>
  <c r="DC103" i="1"/>
  <c r="DB103" i="1"/>
  <c r="CJ103" i="1"/>
  <c r="CB103" i="1"/>
  <c r="CA103" i="1"/>
  <c r="BZ103" i="1"/>
  <c r="BY103" i="1"/>
  <c r="BX103" i="1"/>
  <c r="BW103" i="1"/>
  <c r="BV103" i="1"/>
  <c r="BU103" i="1"/>
  <c r="BT103" i="1"/>
  <c r="BS103" i="1"/>
  <c r="BR103" i="1"/>
  <c r="BP103" i="1"/>
  <c r="BN103" i="1"/>
  <c r="BM103" i="1"/>
  <c r="BL103" i="1"/>
  <c r="BJ103" i="1"/>
  <c r="BH103" i="1"/>
  <c r="BE103" i="1"/>
  <c r="BD103" i="1"/>
  <c r="AL103" i="1"/>
  <c r="AF103" i="1"/>
  <c r="AE103" i="1"/>
  <c r="AE134" i="1" s="1"/>
  <c r="S103" i="1"/>
  <c r="Q103" i="1"/>
  <c r="M103" i="1"/>
  <c r="G103" i="1" s="1"/>
  <c r="ED103" i="1" s="1"/>
  <c r="K103" i="1"/>
  <c r="BI103" i="1" s="1"/>
  <c r="EB102" i="1"/>
  <c r="EA102" i="1"/>
  <c r="DZ102" i="1"/>
  <c r="DY102" i="1"/>
  <c r="DX102" i="1"/>
  <c r="DW102" i="1"/>
  <c r="DV102" i="1"/>
  <c r="DU102" i="1"/>
  <c r="DT102" i="1"/>
  <c r="DS102" i="1"/>
  <c r="DR102" i="1"/>
  <c r="DQ102" i="1"/>
  <c r="DP102" i="1"/>
  <c r="DO102" i="1"/>
  <c r="DN102" i="1"/>
  <c r="DM102" i="1"/>
  <c r="DL102" i="1"/>
  <c r="DK102" i="1"/>
  <c r="DJ102" i="1"/>
  <c r="DH102" i="1"/>
  <c r="DG102" i="1"/>
  <c r="DF102" i="1"/>
  <c r="CJ102" i="1"/>
  <c r="CD102" i="1"/>
  <c r="CC102" i="1"/>
  <c r="CB102" i="1"/>
  <c r="CA102" i="1"/>
  <c r="BZ102" i="1"/>
  <c r="BY102" i="1"/>
  <c r="BX102" i="1"/>
  <c r="BW102" i="1"/>
  <c r="BV102" i="1"/>
  <c r="BU102" i="1"/>
  <c r="BT102" i="1"/>
  <c r="BS102" i="1"/>
  <c r="BR102" i="1"/>
  <c r="BQ102" i="1"/>
  <c r="BP102" i="1"/>
  <c r="BO102" i="1"/>
  <c r="BN102" i="1"/>
  <c r="BM102" i="1"/>
  <c r="BL102" i="1"/>
  <c r="BJ102" i="1"/>
  <c r="BI102" i="1"/>
  <c r="BH102" i="1"/>
  <c r="AL102" i="1"/>
  <c r="AH102" i="1" s="1"/>
  <c r="M102" i="1"/>
  <c r="G102" i="1" s="1"/>
  <c r="DZ101" i="1"/>
  <c r="DY101" i="1"/>
  <c r="DX101" i="1"/>
  <c r="DV101" i="1"/>
  <c r="DU101" i="1"/>
  <c r="DT101" i="1"/>
  <c r="DS101" i="1"/>
  <c r="DQ101" i="1"/>
  <c r="DP101" i="1"/>
  <c r="DN101" i="1"/>
  <c r="DM101" i="1"/>
  <c r="DL101" i="1"/>
  <c r="DK101" i="1"/>
  <c r="DJ101" i="1"/>
  <c r="DH101" i="1"/>
  <c r="DG101" i="1"/>
  <c r="DF101" i="1"/>
  <c r="DC101" i="1"/>
  <c r="CX101" i="1"/>
  <c r="CJ101" i="1"/>
  <c r="CB101" i="1"/>
  <c r="CA101" i="1"/>
  <c r="BZ101" i="1"/>
  <c r="BX101" i="1"/>
  <c r="BW101" i="1"/>
  <c r="BV101" i="1"/>
  <c r="BU101" i="1"/>
  <c r="BS101" i="1"/>
  <c r="BR101" i="1"/>
  <c r="BO101" i="1"/>
  <c r="BN101" i="1"/>
  <c r="BM101" i="1"/>
  <c r="BL101" i="1"/>
  <c r="BJ101" i="1"/>
  <c r="BH101" i="1"/>
  <c r="BE101" i="1"/>
  <c r="AZ101" i="1"/>
  <c r="AL101" i="1"/>
  <c r="AJ101" i="1"/>
  <c r="AF101" i="1"/>
  <c r="AE101" i="1"/>
  <c r="CC101" i="1" s="1"/>
  <c r="V101" i="1"/>
  <c r="S101" i="1"/>
  <c r="BQ101" i="1" s="1"/>
  <c r="R101" i="1"/>
  <c r="R133" i="1" s="1"/>
  <c r="M101" i="1"/>
  <c r="K101" i="1"/>
  <c r="EA100" i="1"/>
  <c r="DZ100" i="1"/>
  <c r="DY100" i="1"/>
  <c r="DX100" i="1"/>
  <c r="DW100" i="1"/>
  <c r="DV100" i="1"/>
  <c r="DU100" i="1"/>
  <c r="DT100" i="1"/>
  <c r="DS100" i="1"/>
  <c r="DR100" i="1"/>
  <c r="DQ100" i="1"/>
  <c r="DP100" i="1"/>
  <c r="DO100" i="1"/>
  <c r="DN100" i="1"/>
  <c r="DM100" i="1"/>
  <c r="DL100" i="1"/>
  <c r="DK100" i="1"/>
  <c r="DJ100" i="1"/>
  <c r="DI100" i="1"/>
  <c r="DH100" i="1"/>
  <c r="DG100" i="1"/>
  <c r="DF100" i="1"/>
  <c r="DC100" i="1"/>
  <c r="CF100" i="1" s="1"/>
  <c r="CC100" i="1"/>
  <c r="CB100" i="1"/>
  <c r="CB133" i="1" s="1"/>
  <c r="CA100" i="1"/>
  <c r="BZ100" i="1"/>
  <c r="BY100" i="1"/>
  <c r="BX100" i="1"/>
  <c r="BW100" i="1"/>
  <c r="BV100" i="1"/>
  <c r="BU100" i="1"/>
  <c r="BT100" i="1"/>
  <c r="BS100" i="1"/>
  <c r="BR100" i="1"/>
  <c r="BQ100" i="1"/>
  <c r="BP100" i="1"/>
  <c r="BO100" i="1"/>
  <c r="BN100" i="1"/>
  <c r="BM100" i="1"/>
  <c r="BL100" i="1"/>
  <c r="BK100" i="1"/>
  <c r="BJ100" i="1"/>
  <c r="BI100" i="1"/>
  <c r="BH100" i="1"/>
  <c r="BE100" i="1"/>
  <c r="AF100" i="1"/>
  <c r="G100" i="1"/>
  <c r="EB99" i="1"/>
  <c r="EA99" i="1"/>
  <c r="DZ99" i="1"/>
  <c r="DY99" i="1"/>
  <c r="DX99" i="1"/>
  <c r="DW99" i="1"/>
  <c r="DV99" i="1"/>
  <c r="DU99" i="1"/>
  <c r="DT99" i="1"/>
  <c r="DS99" i="1"/>
  <c r="DR99" i="1"/>
  <c r="DQ99" i="1"/>
  <c r="DP99" i="1"/>
  <c r="DO99" i="1"/>
  <c r="DN99" i="1"/>
  <c r="DM99" i="1"/>
  <c r="DL99" i="1"/>
  <c r="DK99" i="1"/>
  <c r="DJ99" i="1"/>
  <c r="DI99" i="1"/>
  <c r="DH99" i="1"/>
  <c r="DG99" i="1"/>
  <c r="DF99" i="1"/>
  <c r="CF99" i="1"/>
  <c r="CD99" i="1"/>
  <c r="CC99" i="1"/>
  <c r="CB99" i="1"/>
  <c r="CA99" i="1"/>
  <c r="BZ99" i="1"/>
  <c r="BY99" i="1"/>
  <c r="BX99" i="1"/>
  <c r="BW99" i="1"/>
  <c r="BV99" i="1"/>
  <c r="BU99" i="1"/>
  <c r="BT99" i="1"/>
  <c r="BS99" i="1"/>
  <c r="BR99" i="1"/>
  <c r="BQ99" i="1"/>
  <c r="BP99" i="1"/>
  <c r="BO99" i="1"/>
  <c r="BN99" i="1"/>
  <c r="BM99" i="1"/>
  <c r="BL99" i="1"/>
  <c r="BK99" i="1"/>
  <c r="BJ99" i="1"/>
  <c r="BI99" i="1"/>
  <c r="BH99" i="1"/>
  <c r="AH99" i="1"/>
  <c r="I99" i="1"/>
  <c r="G99" i="1"/>
  <c r="ED99" i="1" s="1"/>
  <c r="EA98" i="1"/>
  <c r="DZ98" i="1"/>
  <c r="DY98" i="1"/>
  <c r="DX98" i="1"/>
  <c r="DW98" i="1"/>
  <c r="DV98" i="1"/>
  <c r="DU98" i="1"/>
  <c r="DT98" i="1"/>
  <c r="DR98" i="1"/>
  <c r="DQ98" i="1"/>
  <c r="DP98" i="1"/>
  <c r="DO98" i="1"/>
  <c r="DN98" i="1"/>
  <c r="DM98" i="1"/>
  <c r="DL98" i="1"/>
  <c r="DK98" i="1"/>
  <c r="DH98" i="1"/>
  <c r="DG98" i="1"/>
  <c r="CT98" i="1"/>
  <c r="DS98" i="1" s="1"/>
  <c r="CK98" i="1"/>
  <c r="CG98" i="1"/>
  <c r="DF98" i="1" s="1"/>
  <c r="CC98" i="1"/>
  <c r="CB98" i="1"/>
  <c r="CA98" i="1"/>
  <c r="BZ98" i="1"/>
  <c r="BY98" i="1"/>
  <c r="BX98" i="1"/>
  <c r="BW98" i="1"/>
  <c r="BV98" i="1"/>
  <c r="BT98" i="1"/>
  <c r="BS98" i="1"/>
  <c r="BR98" i="1"/>
  <c r="BQ98" i="1"/>
  <c r="BP98" i="1"/>
  <c r="BO98" i="1"/>
  <c r="BN98" i="1"/>
  <c r="BM98" i="1"/>
  <c r="BJ98" i="1"/>
  <c r="BI98" i="1"/>
  <c r="AV98" i="1"/>
  <c r="AV133" i="1" s="1"/>
  <c r="AM98" i="1"/>
  <c r="AM129" i="1" s="1"/>
  <c r="AI98" i="1"/>
  <c r="AF98" i="1"/>
  <c r="CD98" i="1" s="1"/>
  <c r="M98" i="1"/>
  <c r="BK98" i="1" s="1"/>
  <c r="DB97" i="1"/>
  <c r="DA97" i="1"/>
  <c r="CY97" i="1"/>
  <c r="CV97" i="1"/>
  <c r="CU97" i="1"/>
  <c r="CT97" i="1"/>
  <c r="CS97" i="1"/>
  <c r="CR97" i="1"/>
  <c r="CQ97" i="1"/>
  <c r="CP97" i="1"/>
  <c r="CO97" i="1"/>
  <c r="CN97" i="1"/>
  <c r="CM97" i="1"/>
  <c r="CL97" i="1"/>
  <c r="CK97" i="1"/>
  <c r="BD97" i="1"/>
  <c r="BC97" i="1"/>
  <c r="BA97" i="1"/>
  <c r="AX97" i="1"/>
  <c r="AW97" i="1"/>
  <c r="AV97" i="1"/>
  <c r="AU97" i="1"/>
  <c r="AT97" i="1"/>
  <c r="AS97" i="1"/>
  <c r="AR97" i="1"/>
  <c r="AQ97" i="1"/>
  <c r="AP97" i="1"/>
  <c r="AO97" i="1"/>
  <c r="AN97" i="1"/>
  <c r="AM97" i="1"/>
  <c r="AE97" i="1"/>
  <c r="AD97" i="1"/>
  <c r="AB97" i="1"/>
  <c r="Z97" i="1"/>
  <c r="Y97" i="1"/>
  <c r="X97" i="1"/>
  <c r="W97" i="1"/>
  <c r="V97" i="1"/>
  <c r="U97" i="1"/>
  <c r="T97" i="1"/>
  <c r="S97" i="1"/>
  <c r="R97" i="1"/>
  <c r="Q97" i="1"/>
  <c r="P97" i="1"/>
  <c r="O97" i="1"/>
  <c r="N97" i="1"/>
  <c r="L97" i="1"/>
  <c r="K97" i="1"/>
  <c r="H97" i="1"/>
  <c r="EB96" i="1"/>
  <c r="EA96" i="1"/>
  <c r="DZ96" i="1"/>
  <c r="DY96" i="1"/>
  <c r="DX96" i="1"/>
  <c r="DU96" i="1"/>
  <c r="DT96" i="1"/>
  <c r="DS96" i="1"/>
  <c r="DR96" i="1"/>
  <c r="DQ96" i="1"/>
  <c r="DP96" i="1"/>
  <c r="DO96" i="1"/>
  <c r="DN96" i="1"/>
  <c r="DM96" i="1"/>
  <c r="DL96" i="1"/>
  <c r="DK96" i="1"/>
  <c r="DJ96" i="1"/>
  <c r="DI96" i="1"/>
  <c r="DH96" i="1"/>
  <c r="DG96" i="1"/>
  <c r="CX96" i="1"/>
  <c r="DW96" i="1" s="1"/>
  <c r="CW96" i="1"/>
  <c r="DV96" i="1" s="1"/>
  <c r="CG96" i="1"/>
  <c r="CD96" i="1"/>
  <c r="CC96" i="1"/>
  <c r="CB96" i="1"/>
  <c r="CA96" i="1"/>
  <c r="BZ96" i="1"/>
  <c r="BW96" i="1"/>
  <c r="BV96" i="1"/>
  <c r="BU96" i="1"/>
  <c r="BT96" i="1"/>
  <c r="BS96" i="1"/>
  <c r="BR96" i="1"/>
  <c r="BQ96" i="1"/>
  <c r="BP96" i="1"/>
  <c r="BO96" i="1"/>
  <c r="BN96" i="1"/>
  <c r="BM96" i="1"/>
  <c r="BL96" i="1"/>
  <c r="BK96" i="1"/>
  <c r="BJ96" i="1"/>
  <c r="BI96" i="1"/>
  <c r="AZ96" i="1"/>
  <c r="BY96" i="1" s="1"/>
  <c r="AY96" i="1"/>
  <c r="BX96" i="1" s="1"/>
  <c r="AI96" i="1"/>
  <c r="J96" i="1"/>
  <c r="EA95" i="1"/>
  <c r="DZ95" i="1"/>
  <c r="DY95" i="1"/>
  <c r="DX95" i="1"/>
  <c r="DW95" i="1"/>
  <c r="DU95" i="1"/>
  <c r="DT95" i="1"/>
  <c r="DS95" i="1"/>
  <c r="DR95" i="1"/>
  <c r="DQ95" i="1"/>
  <c r="DP95" i="1"/>
  <c r="DO95" i="1"/>
  <c r="DN95" i="1"/>
  <c r="DM95" i="1"/>
  <c r="DL95" i="1"/>
  <c r="DK95" i="1"/>
  <c r="DJ95" i="1"/>
  <c r="DH95" i="1"/>
  <c r="DC95" i="1"/>
  <c r="CW95" i="1"/>
  <c r="DV95" i="1" s="1"/>
  <c r="CJ95" i="1"/>
  <c r="CH95" i="1"/>
  <c r="CG95" i="1"/>
  <c r="CC95" i="1"/>
  <c r="CB95" i="1"/>
  <c r="CA95" i="1"/>
  <c r="BZ95" i="1"/>
  <c r="BY95" i="1"/>
  <c r="BW95" i="1"/>
  <c r="BV95" i="1"/>
  <c r="BU95" i="1"/>
  <c r="BT95" i="1"/>
  <c r="BS95" i="1"/>
  <c r="BR95" i="1"/>
  <c r="BQ95" i="1"/>
  <c r="BP95" i="1"/>
  <c r="BO95" i="1"/>
  <c r="BN95" i="1"/>
  <c r="BM95" i="1"/>
  <c r="BL95" i="1"/>
  <c r="BJ95" i="1"/>
  <c r="BE95" i="1"/>
  <c r="AY95" i="1"/>
  <c r="BX95" i="1" s="1"/>
  <c r="AL95" i="1"/>
  <c r="AJ95" i="1"/>
  <c r="AJ135" i="1" s="1"/>
  <c r="AI95" i="1"/>
  <c r="AF95" i="1"/>
  <c r="M95" i="1"/>
  <c r="J95" i="1"/>
  <c r="EB94" i="1"/>
  <c r="EA94" i="1"/>
  <c r="DZ94" i="1"/>
  <c r="DX94" i="1"/>
  <c r="DW94" i="1"/>
  <c r="DV94" i="1"/>
  <c r="DU94" i="1"/>
  <c r="DT94" i="1"/>
  <c r="DS94" i="1"/>
  <c r="DR94" i="1"/>
  <c r="DQ94" i="1"/>
  <c r="DP94" i="1"/>
  <c r="DO94" i="1"/>
  <c r="DN94" i="1"/>
  <c r="DM94" i="1"/>
  <c r="DL94" i="1"/>
  <c r="DK94" i="1"/>
  <c r="DJ94" i="1"/>
  <c r="DI94" i="1"/>
  <c r="DH94" i="1"/>
  <c r="DG94" i="1"/>
  <c r="CF94" i="1"/>
  <c r="CD94" i="1"/>
  <c r="CC94" i="1"/>
  <c r="CB94" i="1"/>
  <c r="BZ94" i="1"/>
  <c r="BY94" i="1"/>
  <c r="BX94" i="1"/>
  <c r="BW94" i="1"/>
  <c r="BV94" i="1"/>
  <c r="BU94" i="1"/>
  <c r="BT94" i="1"/>
  <c r="BS94" i="1"/>
  <c r="BR94" i="1"/>
  <c r="BQ94" i="1"/>
  <c r="BP94" i="1"/>
  <c r="BO94" i="1"/>
  <c r="BN94" i="1"/>
  <c r="BM94" i="1"/>
  <c r="BL94" i="1"/>
  <c r="BK94" i="1"/>
  <c r="BJ94" i="1"/>
  <c r="BI94" i="1"/>
  <c r="AH94" i="1"/>
  <c r="AC94" i="1"/>
  <c r="J94" i="1"/>
  <c r="EB93" i="1"/>
  <c r="EA93" i="1"/>
  <c r="DZ93" i="1"/>
  <c r="DY93" i="1"/>
  <c r="DX93" i="1"/>
  <c r="DU93" i="1"/>
  <c r="DT93" i="1"/>
  <c r="DS93" i="1"/>
  <c r="DR93" i="1"/>
  <c r="DQ93" i="1"/>
  <c r="DP93" i="1"/>
  <c r="DO93" i="1"/>
  <c r="DN93" i="1"/>
  <c r="DM93" i="1"/>
  <c r="DL93" i="1"/>
  <c r="DK93" i="1"/>
  <c r="DJ93" i="1"/>
  <c r="DI93" i="1"/>
  <c r="DH93" i="1"/>
  <c r="DG93" i="1"/>
  <c r="CX93" i="1"/>
  <c r="CW93" i="1"/>
  <c r="DV93" i="1" s="1"/>
  <c r="CG93" i="1"/>
  <c r="DF93" i="1" s="1"/>
  <c r="CD93" i="1"/>
  <c r="CC93" i="1"/>
  <c r="CB93" i="1"/>
  <c r="CA93" i="1"/>
  <c r="BZ93" i="1"/>
  <c r="BW93" i="1"/>
  <c r="BV93" i="1"/>
  <c r="BU93" i="1"/>
  <c r="BT93" i="1"/>
  <c r="BS93" i="1"/>
  <c r="BR93" i="1"/>
  <c r="BQ93" i="1"/>
  <c r="BP93" i="1"/>
  <c r="BO93" i="1"/>
  <c r="BN93" i="1"/>
  <c r="BM93" i="1"/>
  <c r="BL93" i="1"/>
  <c r="BK93" i="1"/>
  <c r="BJ93" i="1"/>
  <c r="BI93" i="1"/>
  <c r="AZ93" i="1"/>
  <c r="AY93" i="1"/>
  <c r="BX93" i="1" s="1"/>
  <c r="AI93" i="1"/>
  <c r="AA93" i="1"/>
  <c r="J93" i="1"/>
  <c r="G93" i="1" s="1"/>
  <c r="EB92" i="1"/>
  <c r="EA92" i="1"/>
  <c r="DZ92" i="1"/>
  <c r="DY92" i="1"/>
  <c r="DX92" i="1"/>
  <c r="DU92" i="1"/>
  <c r="DT92" i="1"/>
  <c r="DS92" i="1"/>
  <c r="DR92" i="1"/>
  <c r="DQ92" i="1"/>
  <c r="DP92" i="1"/>
  <c r="DO92" i="1"/>
  <c r="DN92" i="1"/>
  <c r="DM92" i="1"/>
  <c r="DL92" i="1"/>
  <c r="DK92" i="1"/>
  <c r="DJ92" i="1"/>
  <c r="DI92" i="1"/>
  <c r="DH92" i="1"/>
  <c r="DG92" i="1"/>
  <c r="DF92" i="1"/>
  <c r="CW92" i="1"/>
  <c r="DV92" i="1" s="1"/>
  <c r="CD92" i="1"/>
  <c r="CC92" i="1"/>
  <c r="CB92" i="1"/>
  <c r="CA92" i="1"/>
  <c r="BZ92" i="1"/>
  <c r="BW92" i="1"/>
  <c r="BV92" i="1"/>
  <c r="BU92" i="1"/>
  <c r="BT92" i="1"/>
  <c r="BS92" i="1"/>
  <c r="BR92" i="1"/>
  <c r="BQ92" i="1"/>
  <c r="BP92" i="1"/>
  <c r="BO92" i="1"/>
  <c r="BN92" i="1"/>
  <c r="BM92" i="1"/>
  <c r="BL92" i="1"/>
  <c r="BK92" i="1"/>
  <c r="BJ92" i="1"/>
  <c r="BI92" i="1"/>
  <c r="BH92" i="1"/>
  <c r="AY92" i="1"/>
  <c r="AA92" i="1"/>
  <c r="BY92" i="1" s="1"/>
  <c r="EB91" i="1"/>
  <c r="EA91" i="1"/>
  <c r="DZ91" i="1"/>
  <c r="DY91" i="1"/>
  <c r="DX91" i="1"/>
  <c r="DU91" i="1"/>
  <c r="DT91" i="1"/>
  <c r="DS91" i="1"/>
  <c r="DR91" i="1"/>
  <c r="DQ91" i="1"/>
  <c r="DP91" i="1"/>
  <c r="DO91" i="1"/>
  <c r="DN91" i="1"/>
  <c r="DM91" i="1"/>
  <c r="DL91" i="1"/>
  <c r="DK91" i="1"/>
  <c r="DJ91" i="1"/>
  <c r="DI91" i="1"/>
  <c r="DH91" i="1"/>
  <c r="DG91" i="1"/>
  <c r="CX91" i="1"/>
  <c r="DW91" i="1" s="1"/>
  <c r="CW91" i="1"/>
  <c r="CG91" i="1"/>
  <c r="CD91" i="1"/>
  <c r="CC91" i="1"/>
  <c r="CB91" i="1"/>
  <c r="CA91" i="1"/>
  <c r="BZ91" i="1"/>
  <c r="BW91" i="1"/>
  <c r="BV91" i="1"/>
  <c r="BU91" i="1"/>
  <c r="BT91" i="1"/>
  <c r="BS91" i="1"/>
  <c r="BR91" i="1"/>
  <c r="BQ91" i="1"/>
  <c r="BP91" i="1"/>
  <c r="BO91" i="1"/>
  <c r="BN91" i="1"/>
  <c r="BM91" i="1"/>
  <c r="BL91" i="1"/>
  <c r="BK91" i="1"/>
  <c r="BJ91" i="1"/>
  <c r="BI91" i="1"/>
  <c r="AZ91" i="1"/>
  <c r="AY91" i="1"/>
  <c r="BX91" i="1" s="1"/>
  <c r="AI91" i="1"/>
  <c r="AA91" i="1"/>
  <c r="J91" i="1"/>
  <c r="EA90" i="1"/>
  <c r="DZ90" i="1"/>
  <c r="DY90" i="1"/>
  <c r="DX90" i="1"/>
  <c r="DU90" i="1"/>
  <c r="DT90" i="1"/>
  <c r="DS90" i="1"/>
  <c r="DR90" i="1"/>
  <c r="DQ90" i="1"/>
  <c r="DP90" i="1"/>
  <c r="DO90" i="1"/>
  <c r="DN90" i="1"/>
  <c r="DM90" i="1"/>
  <c r="DL90" i="1"/>
  <c r="DK90" i="1"/>
  <c r="DJ90" i="1"/>
  <c r="DI90" i="1"/>
  <c r="DH90" i="1"/>
  <c r="DG90" i="1"/>
  <c r="DF90" i="1"/>
  <c r="DC90" i="1"/>
  <c r="CX90" i="1"/>
  <c r="CW90" i="1"/>
  <c r="CC90" i="1"/>
  <c r="CB90" i="1"/>
  <c r="CA90" i="1"/>
  <c r="BZ90" i="1"/>
  <c r="BW90" i="1"/>
  <c r="BV90" i="1"/>
  <c r="BU90" i="1"/>
  <c r="BT90" i="1"/>
  <c r="BS90" i="1"/>
  <c r="BR90" i="1"/>
  <c r="BQ90" i="1"/>
  <c r="BP90" i="1"/>
  <c r="BO90" i="1"/>
  <c r="BN90" i="1"/>
  <c r="BM90" i="1"/>
  <c r="BL90" i="1"/>
  <c r="BK90" i="1"/>
  <c r="BJ90" i="1"/>
  <c r="BI90" i="1"/>
  <c r="BH90" i="1"/>
  <c r="BE90" i="1"/>
  <c r="AZ90" i="1"/>
  <c r="BY90" i="1" s="1"/>
  <c r="AY90" i="1"/>
  <c r="AF90" i="1"/>
  <c r="AA90" i="1"/>
  <c r="ED89" i="1"/>
  <c r="EA89" i="1"/>
  <c r="DZ89" i="1"/>
  <c r="DX89" i="1"/>
  <c r="DW89" i="1"/>
  <c r="DV89" i="1"/>
  <c r="DU89" i="1"/>
  <c r="DT89" i="1"/>
  <c r="DS89" i="1"/>
  <c r="DR89" i="1"/>
  <c r="DQ89" i="1"/>
  <c r="DP89" i="1"/>
  <c r="DO89" i="1"/>
  <c r="DN89" i="1"/>
  <c r="DM89" i="1"/>
  <c r="DL89" i="1"/>
  <c r="DK89" i="1"/>
  <c r="DJ89" i="1"/>
  <c r="DI89" i="1"/>
  <c r="DG89" i="1"/>
  <c r="DF89" i="1"/>
  <c r="DC89" i="1"/>
  <c r="EB89" i="1" s="1"/>
  <c r="CI89" i="1"/>
  <c r="CC89" i="1"/>
  <c r="CB89" i="1"/>
  <c r="BZ89" i="1"/>
  <c r="BY89" i="1"/>
  <c r="BX89" i="1"/>
  <c r="BW89" i="1"/>
  <c r="BV89" i="1"/>
  <c r="BU89" i="1"/>
  <c r="BT89" i="1"/>
  <c r="BS89" i="1"/>
  <c r="BR89" i="1"/>
  <c r="BQ89" i="1"/>
  <c r="BP89" i="1"/>
  <c r="BO89" i="1"/>
  <c r="BN89" i="1"/>
  <c r="BM89" i="1"/>
  <c r="BL89" i="1"/>
  <c r="BK89" i="1"/>
  <c r="BI89" i="1"/>
  <c r="BH89" i="1"/>
  <c r="BE89" i="1"/>
  <c r="CD89" i="1" s="1"/>
  <c r="BB89" i="1"/>
  <c r="CA89" i="1" s="1"/>
  <c r="AK89" i="1"/>
  <c r="G89" i="1"/>
  <c r="I89" i="1" s="1"/>
  <c r="EB88" i="1"/>
  <c r="EA88" i="1"/>
  <c r="DZ88" i="1"/>
  <c r="DX88" i="1"/>
  <c r="DV88" i="1"/>
  <c r="DU88" i="1"/>
  <c r="DT88" i="1"/>
  <c r="DS88" i="1"/>
  <c r="DR88" i="1"/>
  <c r="DQ88" i="1"/>
  <c r="DP88" i="1"/>
  <c r="DO88" i="1"/>
  <c r="DN88" i="1"/>
  <c r="DM88" i="1"/>
  <c r="DL88" i="1"/>
  <c r="DK88" i="1"/>
  <c r="DJ88" i="1"/>
  <c r="DI88" i="1"/>
  <c r="DH88" i="1"/>
  <c r="DG88" i="1"/>
  <c r="DF88" i="1"/>
  <c r="CZ88" i="1"/>
  <c r="DY88" i="1" s="1"/>
  <c r="CX88" i="1"/>
  <c r="CD88" i="1"/>
  <c r="CC88" i="1"/>
  <c r="CB88" i="1"/>
  <c r="BZ88" i="1"/>
  <c r="BX88" i="1"/>
  <c r="BW88" i="1"/>
  <c r="BV88" i="1"/>
  <c r="BU88" i="1"/>
  <c r="BT88" i="1"/>
  <c r="BS88" i="1"/>
  <c r="BR88" i="1"/>
  <c r="BQ88" i="1"/>
  <c r="BP88" i="1"/>
  <c r="BO88" i="1"/>
  <c r="BN88" i="1"/>
  <c r="BM88" i="1"/>
  <c r="BL88" i="1"/>
  <c r="BK88" i="1"/>
  <c r="BJ88" i="1"/>
  <c r="BI88" i="1"/>
  <c r="BH88" i="1"/>
  <c r="BB88" i="1"/>
  <c r="CA88" i="1" s="1"/>
  <c r="AZ88" i="1"/>
  <c r="G88" i="1"/>
  <c r="ED88" i="1" s="1"/>
  <c r="EB87" i="1"/>
  <c r="EA87" i="1"/>
  <c r="DZ87" i="1"/>
  <c r="DX87" i="1"/>
  <c r="DV87" i="1"/>
  <c r="DU87" i="1"/>
  <c r="DT87" i="1"/>
  <c r="DS87" i="1"/>
  <c r="DR87" i="1"/>
  <c r="DQ87" i="1"/>
  <c r="DP87" i="1"/>
  <c r="DO87" i="1"/>
  <c r="DN87" i="1"/>
  <c r="DM87" i="1"/>
  <c r="DL87" i="1"/>
  <c r="DK87" i="1"/>
  <c r="DJ87" i="1"/>
  <c r="DI87" i="1"/>
  <c r="DH87" i="1"/>
  <c r="DG87" i="1"/>
  <c r="DF87" i="1"/>
  <c r="CZ87" i="1"/>
  <c r="CX87" i="1" s="1"/>
  <c r="CF87" i="1" s="1"/>
  <c r="CD87" i="1"/>
  <c r="CC87" i="1"/>
  <c r="CB87" i="1"/>
  <c r="BZ87" i="1"/>
  <c r="BX87" i="1"/>
  <c r="BW87" i="1"/>
  <c r="BV87" i="1"/>
  <c r="BU87" i="1"/>
  <c r="BT87" i="1"/>
  <c r="BS87" i="1"/>
  <c r="BR87" i="1"/>
  <c r="BQ87" i="1"/>
  <c r="BP87" i="1"/>
  <c r="BO87" i="1"/>
  <c r="BN87" i="1"/>
  <c r="BM87" i="1"/>
  <c r="BL87" i="1"/>
  <c r="BK87" i="1"/>
  <c r="BJ87" i="1"/>
  <c r="BI87" i="1"/>
  <c r="BH87" i="1"/>
  <c r="BB87" i="1"/>
  <c r="CA87" i="1" s="1"/>
  <c r="AZ87" i="1"/>
  <c r="AA87" i="1"/>
  <c r="G87" i="1" s="1"/>
  <c r="ED87" i="1" s="1"/>
  <c r="EB86" i="1"/>
  <c r="EA86" i="1"/>
  <c r="DZ86" i="1"/>
  <c r="DX86" i="1"/>
  <c r="DW86" i="1"/>
  <c r="DV86" i="1"/>
  <c r="DU86" i="1"/>
  <c r="DT86" i="1"/>
  <c r="DS86" i="1"/>
  <c r="DR86" i="1"/>
  <c r="DQ86" i="1"/>
  <c r="DP86" i="1"/>
  <c r="DO86" i="1"/>
  <c r="DN86" i="1"/>
  <c r="DM86" i="1"/>
  <c r="DL86" i="1"/>
  <c r="DK86" i="1"/>
  <c r="DJ86" i="1"/>
  <c r="DI86" i="1"/>
  <c r="DH86" i="1"/>
  <c r="DG86" i="1"/>
  <c r="DF86" i="1"/>
  <c r="CZ86" i="1"/>
  <c r="CF86" i="1" s="1"/>
  <c r="CD86" i="1"/>
  <c r="CC86" i="1"/>
  <c r="CB86" i="1"/>
  <c r="BZ86" i="1"/>
  <c r="BY86" i="1"/>
  <c r="BX86" i="1"/>
  <c r="BW86" i="1"/>
  <c r="BV86" i="1"/>
  <c r="BU86" i="1"/>
  <c r="BT86" i="1"/>
  <c r="BS86" i="1"/>
  <c r="BR86" i="1"/>
  <c r="BQ86" i="1"/>
  <c r="BP86" i="1"/>
  <c r="BO86" i="1"/>
  <c r="BN86" i="1"/>
  <c r="BM86" i="1"/>
  <c r="BL86" i="1"/>
  <c r="BK86" i="1"/>
  <c r="BJ86" i="1"/>
  <c r="BI86" i="1"/>
  <c r="BH86" i="1"/>
  <c r="BB86" i="1"/>
  <c r="AH86" i="1" s="1"/>
  <c r="G86" i="1"/>
  <c r="EA85" i="1"/>
  <c r="DZ85" i="1"/>
  <c r="DY85" i="1"/>
  <c r="DX85" i="1"/>
  <c r="DW85" i="1"/>
  <c r="DV85" i="1"/>
  <c r="DU85" i="1"/>
  <c r="DT85" i="1"/>
  <c r="DS85" i="1"/>
  <c r="DR85" i="1"/>
  <c r="DQ85" i="1"/>
  <c r="DP85" i="1"/>
  <c r="DO85" i="1"/>
  <c r="DN85" i="1"/>
  <c r="DM85" i="1"/>
  <c r="DL85" i="1"/>
  <c r="DK85" i="1"/>
  <c r="DJ85" i="1"/>
  <c r="DI85" i="1"/>
  <c r="DH85" i="1"/>
  <c r="DG85" i="1"/>
  <c r="DF85" i="1"/>
  <c r="DC85" i="1"/>
  <c r="CF85" i="1" s="1"/>
  <c r="CC85" i="1"/>
  <c r="CB85" i="1"/>
  <c r="CA85" i="1"/>
  <c r="BZ85" i="1"/>
  <c r="BY85" i="1"/>
  <c r="BX85" i="1"/>
  <c r="BW85" i="1"/>
  <c r="BV85" i="1"/>
  <c r="BU85" i="1"/>
  <c r="BT85" i="1"/>
  <c r="BS85" i="1"/>
  <c r="BR85" i="1"/>
  <c r="BQ85" i="1"/>
  <c r="BP85" i="1"/>
  <c r="BO85" i="1"/>
  <c r="BN85" i="1"/>
  <c r="BM85" i="1"/>
  <c r="BL85" i="1"/>
  <c r="BK85" i="1"/>
  <c r="BJ85" i="1"/>
  <c r="BI85" i="1"/>
  <c r="BH85" i="1"/>
  <c r="BE85" i="1"/>
  <c r="AH85" i="1" s="1"/>
  <c r="AF85" i="1"/>
  <c r="G85" i="1" s="1"/>
  <c r="EB84" i="1"/>
  <c r="EA84" i="1"/>
  <c r="DZ84" i="1"/>
  <c r="DX84" i="1"/>
  <c r="DV84" i="1"/>
  <c r="DU84" i="1"/>
  <c r="DT84" i="1"/>
  <c r="DS84" i="1"/>
  <c r="DR84" i="1"/>
  <c r="DQ84" i="1"/>
  <c r="DP84" i="1"/>
  <c r="DO84" i="1"/>
  <c r="DN84" i="1"/>
  <c r="DM84" i="1"/>
  <c r="DL84" i="1"/>
  <c r="DK84" i="1"/>
  <c r="DJ84" i="1"/>
  <c r="DI84" i="1"/>
  <c r="DH84" i="1"/>
  <c r="DG84" i="1"/>
  <c r="DF84" i="1"/>
  <c r="CZ84" i="1"/>
  <c r="CD84" i="1"/>
  <c r="CC84" i="1"/>
  <c r="CB84" i="1"/>
  <c r="BZ84" i="1"/>
  <c r="BX84" i="1"/>
  <c r="BW84" i="1"/>
  <c r="BV84" i="1"/>
  <c r="BU84" i="1"/>
  <c r="BT84" i="1"/>
  <c r="BS84" i="1"/>
  <c r="BR84" i="1"/>
  <c r="BQ84" i="1"/>
  <c r="BP84" i="1"/>
  <c r="BO84" i="1"/>
  <c r="BN84" i="1"/>
  <c r="BM84" i="1"/>
  <c r="BL84" i="1"/>
  <c r="BK84" i="1"/>
  <c r="BJ84" i="1"/>
  <c r="BI84" i="1"/>
  <c r="BH84" i="1"/>
  <c r="BB84" i="1"/>
  <c r="AA84" i="1"/>
  <c r="EB83" i="1"/>
  <c r="EA83" i="1"/>
  <c r="DZ83" i="1"/>
  <c r="DY83" i="1"/>
  <c r="DX83" i="1"/>
  <c r="DU83" i="1"/>
  <c r="DT83" i="1"/>
  <c r="DS83" i="1"/>
  <c r="DR83" i="1"/>
  <c r="DQ83" i="1"/>
  <c r="DP83" i="1"/>
  <c r="DO83" i="1"/>
  <c r="DN83" i="1"/>
  <c r="DM83" i="1"/>
  <c r="DL83" i="1"/>
  <c r="DK83" i="1"/>
  <c r="DJ83" i="1"/>
  <c r="DI83" i="1"/>
  <c r="DH83" i="1"/>
  <c r="DG83" i="1"/>
  <c r="CX83" i="1"/>
  <c r="CW83" i="1"/>
  <c r="DV83" i="1" s="1"/>
  <c r="CG83" i="1"/>
  <c r="CD83" i="1"/>
  <c r="CC83" i="1"/>
  <c r="CB83" i="1"/>
  <c r="CA83" i="1"/>
  <c r="BZ83" i="1"/>
  <c r="BW83" i="1"/>
  <c r="BV83" i="1"/>
  <c r="BU83" i="1"/>
  <c r="BT83" i="1"/>
  <c r="BS83" i="1"/>
  <c r="BR83" i="1"/>
  <c r="BQ83" i="1"/>
  <c r="BP83" i="1"/>
  <c r="BO83" i="1"/>
  <c r="BN83" i="1"/>
  <c r="BM83" i="1"/>
  <c r="BL83" i="1"/>
  <c r="BK83" i="1"/>
  <c r="BJ83" i="1"/>
  <c r="BI83" i="1"/>
  <c r="AZ83" i="1"/>
  <c r="AY83" i="1"/>
  <c r="AI83" i="1"/>
  <c r="AA83" i="1"/>
  <c r="J83" i="1"/>
  <c r="EB82" i="1"/>
  <c r="EA82" i="1"/>
  <c r="DZ82" i="1"/>
  <c r="DY82" i="1"/>
  <c r="DX82" i="1"/>
  <c r="DW82" i="1"/>
  <c r="DV82" i="1"/>
  <c r="DU82" i="1"/>
  <c r="DT82" i="1"/>
  <c r="DS82" i="1"/>
  <c r="DR82" i="1"/>
  <c r="DQ82" i="1"/>
  <c r="DP82" i="1"/>
  <c r="DO82" i="1"/>
  <c r="DN82" i="1"/>
  <c r="DM82" i="1"/>
  <c r="DL82" i="1"/>
  <c r="DK82" i="1"/>
  <c r="DJ82" i="1"/>
  <c r="DI82" i="1"/>
  <c r="DH82" i="1"/>
  <c r="DG82" i="1"/>
  <c r="DF82" i="1"/>
  <c r="CF82" i="1"/>
  <c r="CE82" i="1" s="1"/>
  <c r="DD82" i="1" s="1"/>
  <c r="CD82" i="1"/>
  <c r="CC82" i="1"/>
  <c r="CB82" i="1"/>
  <c r="CA82" i="1"/>
  <c r="BZ82" i="1"/>
  <c r="BY82" i="1"/>
  <c r="BX82" i="1"/>
  <c r="BW82" i="1"/>
  <c r="BV82" i="1"/>
  <c r="BU82" i="1"/>
  <c r="BT82" i="1"/>
  <c r="BS82" i="1"/>
  <c r="BR82" i="1"/>
  <c r="BQ82" i="1"/>
  <c r="BP82" i="1"/>
  <c r="BO82" i="1"/>
  <c r="BN82" i="1"/>
  <c r="BM82" i="1"/>
  <c r="BL82" i="1"/>
  <c r="BK82" i="1"/>
  <c r="BJ82" i="1"/>
  <c r="BI82" i="1"/>
  <c r="BH82" i="1"/>
  <c r="AH82" i="1"/>
  <c r="AG82" i="1" s="1"/>
  <c r="BF82" i="1" s="1"/>
  <c r="G82" i="1"/>
  <c r="EB81" i="1"/>
  <c r="EA81" i="1"/>
  <c r="DZ81" i="1"/>
  <c r="DY81" i="1"/>
  <c r="DX81" i="1"/>
  <c r="DW81" i="1"/>
  <c r="DV81" i="1"/>
  <c r="DU81" i="1"/>
  <c r="DT81" i="1"/>
  <c r="DS81" i="1"/>
  <c r="DR81" i="1"/>
  <c r="DQ81" i="1"/>
  <c r="DP81" i="1"/>
  <c r="DO81" i="1"/>
  <c r="DN81" i="1"/>
  <c r="DM81" i="1"/>
  <c r="DL81" i="1"/>
  <c r="DK81" i="1"/>
  <c r="DE81" i="1" s="1"/>
  <c r="DJ81" i="1"/>
  <c r="DI81" i="1"/>
  <c r="DH81" i="1"/>
  <c r="DG81" i="1"/>
  <c r="DF81" i="1"/>
  <c r="CF81" i="1"/>
  <c r="CD81" i="1"/>
  <c r="CC81" i="1"/>
  <c r="CB81" i="1"/>
  <c r="CA81" i="1"/>
  <c r="BZ81" i="1"/>
  <c r="BY81" i="1"/>
  <c r="BX81" i="1"/>
  <c r="BW81" i="1"/>
  <c r="BV81" i="1"/>
  <c r="BU81" i="1"/>
  <c r="BT81" i="1"/>
  <c r="BS81" i="1"/>
  <c r="BR81" i="1"/>
  <c r="BQ81" i="1"/>
  <c r="BP81" i="1"/>
  <c r="BO81" i="1"/>
  <c r="BN81" i="1"/>
  <c r="BM81" i="1"/>
  <c r="BL81" i="1"/>
  <c r="BK81" i="1"/>
  <c r="BJ81" i="1"/>
  <c r="BI81" i="1"/>
  <c r="BH81" i="1"/>
  <c r="AH81" i="1"/>
  <c r="G81" i="1"/>
  <c r="EB80" i="1"/>
  <c r="EA80" i="1"/>
  <c r="DZ80" i="1"/>
  <c r="DX80" i="1"/>
  <c r="DW80" i="1"/>
  <c r="DV80" i="1"/>
  <c r="DU80" i="1"/>
  <c r="DT80" i="1"/>
  <c r="DS80" i="1"/>
  <c r="DR80" i="1"/>
  <c r="DQ80" i="1"/>
  <c r="DP80" i="1"/>
  <c r="DO80" i="1"/>
  <c r="DN80" i="1"/>
  <c r="DM80" i="1"/>
  <c r="DL80" i="1"/>
  <c r="DK80" i="1"/>
  <c r="DJ80" i="1"/>
  <c r="DI80" i="1"/>
  <c r="DH80" i="1"/>
  <c r="DG80" i="1"/>
  <c r="CZ80" i="1"/>
  <c r="DY80" i="1" s="1"/>
  <c r="CG80" i="1"/>
  <c r="CD80" i="1"/>
  <c r="CC80" i="1"/>
  <c r="CB80" i="1"/>
  <c r="BZ80" i="1"/>
  <c r="BY80" i="1"/>
  <c r="BX80" i="1"/>
  <c r="BW80" i="1"/>
  <c r="BV80" i="1"/>
  <c r="BU80" i="1"/>
  <c r="BT80" i="1"/>
  <c r="BS80" i="1"/>
  <c r="BR80" i="1"/>
  <c r="BQ80" i="1"/>
  <c r="BP80" i="1"/>
  <c r="BO80" i="1"/>
  <c r="BN80" i="1"/>
  <c r="BM80" i="1"/>
  <c r="BL80" i="1"/>
  <c r="BK80" i="1"/>
  <c r="BJ80" i="1"/>
  <c r="BI80" i="1"/>
  <c r="BB80" i="1"/>
  <c r="CA80" i="1" s="1"/>
  <c r="AI80" i="1"/>
  <c r="G80" i="1"/>
  <c r="I80" i="1" s="1"/>
  <c r="EB79" i="1"/>
  <c r="EA79" i="1"/>
  <c r="DZ79" i="1"/>
  <c r="DX79" i="1"/>
  <c r="DV79" i="1"/>
  <c r="DU79" i="1"/>
  <c r="DT79" i="1"/>
  <c r="DS79" i="1"/>
  <c r="DR79" i="1"/>
  <c r="DQ79" i="1"/>
  <c r="DP79" i="1"/>
  <c r="DO79" i="1"/>
  <c r="DN79" i="1"/>
  <c r="DM79" i="1"/>
  <c r="DL79" i="1"/>
  <c r="DK79" i="1"/>
  <c r="DJ79" i="1"/>
  <c r="DI79" i="1"/>
  <c r="DH79" i="1"/>
  <c r="DG79" i="1"/>
  <c r="DF79" i="1"/>
  <c r="CZ79" i="1"/>
  <c r="CF79" i="1" s="1"/>
  <c r="CD79" i="1"/>
  <c r="CC79" i="1"/>
  <c r="CB79" i="1"/>
  <c r="BZ79" i="1"/>
  <c r="BX79" i="1"/>
  <c r="BW79" i="1"/>
  <c r="BV79" i="1"/>
  <c r="BU79" i="1"/>
  <c r="BT79" i="1"/>
  <c r="BS79" i="1"/>
  <c r="BR79" i="1"/>
  <c r="BQ79" i="1"/>
  <c r="BP79" i="1"/>
  <c r="BO79" i="1"/>
  <c r="BN79" i="1"/>
  <c r="BM79" i="1"/>
  <c r="BL79" i="1"/>
  <c r="BK79" i="1"/>
  <c r="BJ79" i="1"/>
  <c r="BI79" i="1"/>
  <c r="BH79" i="1"/>
  <c r="BB79" i="1"/>
  <c r="AH79" i="1" s="1"/>
  <c r="AA79" i="1"/>
  <c r="G79" i="1" s="1"/>
  <c r="EB78" i="1"/>
  <c r="EA78" i="1"/>
  <c r="DZ78" i="1"/>
  <c r="DX78" i="1"/>
  <c r="DW78" i="1"/>
  <c r="DV78" i="1"/>
  <c r="DU78" i="1"/>
  <c r="DT78" i="1"/>
  <c r="DS78" i="1"/>
  <c r="DR78" i="1"/>
  <c r="DQ78" i="1"/>
  <c r="DP78" i="1"/>
  <c r="DO78" i="1"/>
  <c r="DN78" i="1"/>
  <c r="DM78" i="1"/>
  <c r="DL78" i="1"/>
  <c r="DK78" i="1"/>
  <c r="DJ78" i="1"/>
  <c r="DI78" i="1"/>
  <c r="DH78" i="1"/>
  <c r="DG78" i="1"/>
  <c r="CZ78" i="1"/>
  <c r="CG78" i="1"/>
  <c r="CD78" i="1"/>
  <c r="CC78" i="1"/>
  <c r="CB78" i="1"/>
  <c r="BZ78" i="1"/>
  <c r="BX78" i="1"/>
  <c r="BW78" i="1"/>
  <c r="BV78" i="1"/>
  <c r="BU78" i="1"/>
  <c r="BT78" i="1"/>
  <c r="BS78" i="1"/>
  <c r="BR78" i="1"/>
  <c r="BQ78" i="1"/>
  <c r="BP78" i="1"/>
  <c r="BO78" i="1"/>
  <c r="BN78" i="1"/>
  <c r="BM78" i="1"/>
  <c r="BL78" i="1"/>
  <c r="BK78" i="1"/>
  <c r="BJ78" i="1"/>
  <c r="BI78" i="1"/>
  <c r="BB78" i="1"/>
  <c r="CA78" i="1" s="1"/>
  <c r="AI78" i="1"/>
  <c r="AA78" i="1"/>
  <c r="J78" i="1"/>
  <c r="DB77" i="1"/>
  <c r="DA77" i="1"/>
  <c r="CZ77" i="1"/>
  <c r="CW77" i="1"/>
  <c r="CU77" i="1"/>
  <c r="CT77" i="1"/>
  <c r="CS77" i="1"/>
  <c r="CR77" i="1"/>
  <c r="CQ77" i="1"/>
  <c r="CP77" i="1"/>
  <c r="CO77" i="1"/>
  <c r="CN77" i="1"/>
  <c r="CM77" i="1"/>
  <c r="CK77" i="1"/>
  <c r="CJ77" i="1"/>
  <c r="CI77" i="1"/>
  <c r="CG77" i="1"/>
  <c r="BD77" i="1"/>
  <c r="BC77" i="1"/>
  <c r="BB77" i="1"/>
  <c r="AY77" i="1"/>
  <c r="AW77" i="1"/>
  <c r="AV77" i="1"/>
  <c r="AU77" i="1"/>
  <c r="AT77" i="1"/>
  <c r="AS77" i="1"/>
  <c r="AR77" i="1"/>
  <c r="AQ77" i="1"/>
  <c r="AP77" i="1"/>
  <c r="AO77" i="1"/>
  <c r="AM77" i="1"/>
  <c r="AK77" i="1"/>
  <c r="AI77" i="1"/>
  <c r="AF77" i="1"/>
  <c r="AE77" i="1"/>
  <c r="AD77" i="1"/>
  <c r="AC77" i="1"/>
  <c r="Z77" i="1"/>
  <c r="X77" i="1"/>
  <c r="W77" i="1"/>
  <c r="V77" i="1"/>
  <c r="U77" i="1"/>
  <c r="T77" i="1"/>
  <c r="S77" i="1"/>
  <c r="R77" i="1"/>
  <c r="Q77" i="1"/>
  <c r="P77" i="1"/>
  <c r="O77" i="1"/>
  <c r="N77" i="1"/>
  <c r="M77" i="1"/>
  <c r="L77" i="1"/>
  <c r="J77" i="1"/>
  <c r="EB76" i="1"/>
  <c r="EA76" i="1"/>
  <c r="DZ76" i="1"/>
  <c r="DY76" i="1"/>
  <c r="DX76" i="1"/>
  <c r="DW76" i="1"/>
  <c r="DV76" i="1"/>
  <c r="DU76" i="1"/>
  <c r="DT76" i="1"/>
  <c r="DS76" i="1"/>
  <c r="DR76" i="1"/>
  <c r="DQ76" i="1"/>
  <c r="DP76" i="1"/>
  <c r="DO76" i="1"/>
  <c r="DN76" i="1"/>
  <c r="DM76" i="1"/>
  <c r="DL76" i="1"/>
  <c r="DK76" i="1"/>
  <c r="DJ76" i="1"/>
  <c r="DI76" i="1"/>
  <c r="DH76" i="1"/>
  <c r="DF76" i="1"/>
  <c r="DD76" i="1"/>
  <c r="CF76" i="1"/>
  <c r="CD76" i="1"/>
  <c r="CC76" i="1"/>
  <c r="CB76" i="1"/>
  <c r="CA76" i="1"/>
  <c r="BZ76" i="1"/>
  <c r="BY76" i="1"/>
  <c r="BX76" i="1"/>
  <c r="BW76" i="1"/>
  <c r="BV76" i="1"/>
  <c r="BU76" i="1"/>
  <c r="BT76" i="1"/>
  <c r="BS76" i="1"/>
  <c r="BR76" i="1"/>
  <c r="BQ76" i="1"/>
  <c r="BP76" i="1"/>
  <c r="BO76" i="1"/>
  <c r="BN76" i="1"/>
  <c r="BM76" i="1"/>
  <c r="BL76" i="1"/>
  <c r="BK76" i="1"/>
  <c r="BJ76" i="1"/>
  <c r="BH76" i="1"/>
  <c r="AH76" i="1"/>
  <c r="K76" i="1"/>
  <c r="BI76" i="1" s="1"/>
  <c r="EB75" i="1"/>
  <c r="EA75" i="1"/>
  <c r="DZ75" i="1"/>
  <c r="DY75" i="1"/>
  <c r="DX75" i="1"/>
  <c r="DV75" i="1"/>
  <c r="DU75" i="1"/>
  <c r="DT75" i="1"/>
  <c r="DS75" i="1"/>
  <c r="DR75" i="1"/>
  <c r="DQ75" i="1"/>
  <c r="DP75" i="1"/>
  <c r="DO75" i="1"/>
  <c r="DN75" i="1"/>
  <c r="DM75" i="1"/>
  <c r="DL75" i="1"/>
  <c r="DK75" i="1"/>
  <c r="DJ75" i="1"/>
  <c r="DI75" i="1"/>
  <c r="DH75" i="1"/>
  <c r="DF75" i="1"/>
  <c r="CX75" i="1"/>
  <c r="CH75" i="1"/>
  <c r="CD75" i="1"/>
  <c r="CC75" i="1"/>
  <c r="CB75" i="1"/>
  <c r="CA75" i="1"/>
  <c r="BZ75" i="1"/>
  <c r="BX75" i="1"/>
  <c r="BW75" i="1"/>
  <c r="BV75" i="1"/>
  <c r="BU75" i="1"/>
  <c r="BT75" i="1"/>
  <c r="BS75" i="1"/>
  <c r="BR75" i="1"/>
  <c r="BQ75" i="1"/>
  <c r="BP75" i="1"/>
  <c r="BO75" i="1"/>
  <c r="BN75" i="1"/>
  <c r="BM75" i="1"/>
  <c r="BL75" i="1"/>
  <c r="BK75" i="1"/>
  <c r="BJ75" i="1"/>
  <c r="BH75" i="1"/>
  <c r="AZ75" i="1"/>
  <c r="AJ75" i="1"/>
  <c r="AA75" i="1"/>
  <c r="K75" i="1"/>
  <c r="EB74" i="1"/>
  <c r="EA74" i="1"/>
  <c r="DZ74" i="1"/>
  <c r="DY74" i="1"/>
  <c r="DX74" i="1"/>
  <c r="DV74" i="1"/>
  <c r="DU74" i="1"/>
  <c r="DT74" i="1"/>
  <c r="DS74" i="1"/>
  <c r="DR74" i="1"/>
  <c r="DQ74" i="1"/>
  <c r="DP74" i="1"/>
  <c r="DO74" i="1"/>
  <c r="DN74" i="1"/>
  <c r="DM74" i="1"/>
  <c r="DL74" i="1"/>
  <c r="DK74" i="1"/>
  <c r="DJ74" i="1"/>
  <c r="DI74" i="1"/>
  <c r="DH74" i="1"/>
  <c r="DG74" i="1"/>
  <c r="DF74" i="1"/>
  <c r="CX74" i="1"/>
  <c r="CD74" i="1"/>
  <c r="CC74" i="1"/>
  <c r="CB74" i="1"/>
  <c r="CA74" i="1"/>
  <c r="BZ74" i="1"/>
  <c r="BX74" i="1"/>
  <c r="BW74" i="1"/>
  <c r="BV74" i="1"/>
  <c r="BU74" i="1"/>
  <c r="BT74" i="1"/>
  <c r="BS74" i="1"/>
  <c r="BR74" i="1"/>
  <c r="BQ74" i="1"/>
  <c r="BP74" i="1"/>
  <c r="BO74" i="1"/>
  <c r="BN74" i="1"/>
  <c r="BM74" i="1"/>
  <c r="BL74" i="1"/>
  <c r="BK74" i="1"/>
  <c r="BJ74" i="1"/>
  <c r="BI74" i="1"/>
  <c r="BH74" i="1"/>
  <c r="AZ74" i="1"/>
  <c r="AA74" i="1"/>
  <c r="G74" i="1" s="1"/>
  <c r="ED74" i="1" s="1"/>
  <c r="EB73" i="1"/>
  <c r="EA73" i="1"/>
  <c r="DZ73" i="1"/>
  <c r="DY73" i="1"/>
  <c r="DX73" i="1"/>
  <c r="DV73" i="1"/>
  <c r="DU73" i="1"/>
  <c r="DT73" i="1"/>
  <c r="DS73" i="1"/>
  <c r="DR73" i="1"/>
  <c r="DQ73" i="1"/>
  <c r="DP73" i="1"/>
  <c r="DO73" i="1"/>
  <c r="DN73" i="1"/>
  <c r="DM73" i="1"/>
  <c r="DL73" i="1"/>
  <c r="DK73" i="1"/>
  <c r="DJ73" i="1"/>
  <c r="DI73" i="1"/>
  <c r="DH73" i="1"/>
  <c r="DF73" i="1"/>
  <c r="CX73" i="1"/>
  <c r="CH73" i="1"/>
  <c r="DG73" i="1" s="1"/>
  <c r="CD73" i="1"/>
  <c r="CC73" i="1"/>
  <c r="CB73" i="1"/>
  <c r="CA73" i="1"/>
  <c r="BZ73" i="1"/>
  <c r="BX73" i="1"/>
  <c r="BW73" i="1"/>
  <c r="BV73" i="1"/>
  <c r="BU73" i="1"/>
  <c r="BT73" i="1"/>
  <c r="BS73" i="1"/>
  <c r="BR73" i="1"/>
  <c r="BQ73" i="1"/>
  <c r="BP73" i="1"/>
  <c r="BO73" i="1"/>
  <c r="BN73" i="1"/>
  <c r="BM73" i="1"/>
  <c r="BL73" i="1"/>
  <c r="BK73" i="1"/>
  <c r="BJ73" i="1"/>
  <c r="BH73" i="1"/>
  <c r="AZ73" i="1"/>
  <c r="AJ73" i="1"/>
  <c r="AA73" i="1"/>
  <c r="K73" i="1"/>
  <c r="EB72" i="1"/>
  <c r="EA72" i="1"/>
  <c r="DZ72" i="1"/>
  <c r="DY72" i="1"/>
  <c r="DX72" i="1"/>
  <c r="DV72" i="1"/>
  <c r="DU72" i="1"/>
  <c r="DT72" i="1"/>
  <c r="DS72" i="1"/>
  <c r="DR72" i="1"/>
  <c r="DQ72" i="1"/>
  <c r="DP72" i="1"/>
  <c r="DO72" i="1"/>
  <c r="DN72" i="1"/>
  <c r="DM72" i="1"/>
  <c r="DL72" i="1"/>
  <c r="DK72" i="1"/>
  <c r="DJ72" i="1"/>
  <c r="DI72" i="1"/>
  <c r="DH72" i="1"/>
  <c r="DF72" i="1"/>
  <c r="CX72" i="1"/>
  <c r="CH72" i="1"/>
  <c r="CD72" i="1"/>
  <c r="CC72" i="1"/>
  <c r="CB72" i="1"/>
  <c r="CA72" i="1"/>
  <c r="BZ72" i="1"/>
  <c r="BX72" i="1"/>
  <c r="BW72" i="1"/>
  <c r="BV72" i="1"/>
  <c r="BU72" i="1"/>
  <c r="BT72" i="1"/>
  <c r="BS72" i="1"/>
  <c r="BR72" i="1"/>
  <c r="BQ72" i="1"/>
  <c r="BP72" i="1"/>
  <c r="BO72" i="1"/>
  <c r="BN72" i="1"/>
  <c r="BM72" i="1"/>
  <c r="BL72" i="1"/>
  <c r="BK72" i="1"/>
  <c r="BJ72" i="1"/>
  <c r="BH72" i="1"/>
  <c r="AZ72" i="1"/>
  <c r="AJ72" i="1"/>
  <c r="AA72" i="1"/>
  <c r="K72" i="1"/>
  <c r="EA71" i="1"/>
  <c r="DZ71" i="1"/>
  <c r="DY71" i="1"/>
  <c r="DV71" i="1"/>
  <c r="DU71" i="1"/>
  <c r="DT71" i="1"/>
  <c r="DS71" i="1"/>
  <c r="DR71" i="1"/>
  <c r="DQ71" i="1"/>
  <c r="DP71" i="1"/>
  <c r="DO71" i="1"/>
  <c r="DN71" i="1"/>
  <c r="DM71" i="1"/>
  <c r="DL71" i="1"/>
  <c r="DK71" i="1"/>
  <c r="DJ71" i="1"/>
  <c r="DI71" i="1"/>
  <c r="DH71" i="1"/>
  <c r="DF71" i="1"/>
  <c r="DC71" i="1"/>
  <c r="CY71" i="1"/>
  <c r="DX71" i="1" s="1"/>
  <c r="CX71" i="1"/>
  <c r="CH71" i="1"/>
  <c r="CC71" i="1"/>
  <c r="CB71" i="1"/>
  <c r="CA71" i="1"/>
  <c r="BX71" i="1"/>
  <c r="BW71" i="1"/>
  <c r="BV71" i="1"/>
  <c r="BU71" i="1"/>
  <c r="BT71" i="1"/>
  <c r="BS71" i="1"/>
  <c r="BR71" i="1"/>
  <c r="BQ71" i="1"/>
  <c r="BP71" i="1"/>
  <c r="BO71" i="1"/>
  <c r="BN71" i="1"/>
  <c r="BM71" i="1"/>
  <c r="BL71" i="1"/>
  <c r="BK71" i="1"/>
  <c r="BJ71" i="1"/>
  <c r="BH71" i="1"/>
  <c r="BE71" i="1"/>
  <c r="BA71" i="1"/>
  <c r="BZ71" i="1" s="1"/>
  <c r="AZ71" i="1"/>
  <c r="AJ71" i="1"/>
  <c r="AF71" i="1"/>
  <c r="AA71" i="1"/>
  <c r="K71" i="1"/>
  <c r="EB70" i="1"/>
  <c r="EA70" i="1"/>
  <c r="DZ70" i="1"/>
  <c r="DY70" i="1"/>
  <c r="DX70" i="1"/>
  <c r="DV70" i="1"/>
  <c r="DU70" i="1"/>
  <c r="DT70" i="1"/>
  <c r="DS70" i="1"/>
  <c r="DR70" i="1"/>
  <c r="DQ70" i="1"/>
  <c r="DP70" i="1"/>
  <c r="DO70" i="1"/>
  <c r="DN70" i="1"/>
  <c r="DM70" i="1"/>
  <c r="DL70" i="1"/>
  <c r="DK70" i="1"/>
  <c r="DJ70" i="1"/>
  <c r="DI70" i="1"/>
  <c r="DH70" i="1"/>
  <c r="DF70" i="1"/>
  <c r="CH70" i="1"/>
  <c r="CF70" i="1" s="1"/>
  <c r="CD70" i="1"/>
  <c r="CC70" i="1"/>
  <c r="CB70" i="1"/>
  <c r="CA70" i="1"/>
  <c r="BZ70" i="1"/>
  <c r="BX70" i="1"/>
  <c r="BW70" i="1"/>
  <c r="BV70" i="1"/>
  <c r="BU70" i="1"/>
  <c r="BT70" i="1"/>
  <c r="BS70" i="1"/>
  <c r="BR70" i="1"/>
  <c r="BQ70" i="1"/>
  <c r="BP70" i="1"/>
  <c r="BO70" i="1"/>
  <c r="BN70" i="1"/>
  <c r="BM70" i="1"/>
  <c r="BL70" i="1"/>
  <c r="BK70" i="1"/>
  <c r="BJ70" i="1"/>
  <c r="BH70" i="1"/>
  <c r="AJ70" i="1"/>
  <c r="AH70" i="1" s="1"/>
  <c r="AA70" i="1"/>
  <c r="K70" i="1"/>
  <c r="EB69" i="1"/>
  <c r="EA69" i="1"/>
  <c r="DZ69" i="1"/>
  <c r="DY69" i="1"/>
  <c r="DV69" i="1"/>
  <c r="DU69" i="1"/>
  <c r="DT69" i="1"/>
  <c r="DS69" i="1"/>
  <c r="DR69" i="1"/>
  <c r="DQ69" i="1"/>
  <c r="DP69" i="1"/>
  <c r="DO69" i="1"/>
  <c r="DN69" i="1"/>
  <c r="DM69" i="1"/>
  <c r="DL69" i="1"/>
  <c r="DK69" i="1"/>
  <c r="DJ69" i="1"/>
  <c r="DI69" i="1"/>
  <c r="DH69" i="1"/>
  <c r="DF69" i="1"/>
  <c r="CY69" i="1"/>
  <c r="CX69" i="1"/>
  <c r="CH69" i="1"/>
  <c r="DG69" i="1" s="1"/>
  <c r="CD69" i="1"/>
  <c r="CC69" i="1"/>
  <c r="CB69" i="1"/>
  <c r="CA69" i="1"/>
  <c r="BX69" i="1"/>
  <c r="BW69" i="1"/>
  <c r="BV69" i="1"/>
  <c r="BU69" i="1"/>
  <c r="BT69" i="1"/>
  <c r="BS69" i="1"/>
  <c r="BR69" i="1"/>
  <c r="BQ69" i="1"/>
  <c r="BP69" i="1"/>
  <c r="BO69" i="1"/>
  <c r="BN69" i="1"/>
  <c r="BM69" i="1"/>
  <c r="BL69" i="1"/>
  <c r="BK69" i="1"/>
  <c r="BJ69" i="1"/>
  <c r="BH69" i="1"/>
  <c r="BA69" i="1"/>
  <c r="BZ69" i="1" s="1"/>
  <c r="AZ69" i="1"/>
  <c r="AJ69" i="1"/>
  <c r="AB69" i="1"/>
  <c r="AA69" i="1"/>
  <c r="K69" i="1"/>
  <c r="EB68" i="1"/>
  <c r="EA68" i="1"/>
  <c r="DZ68" i="1"/>
  <c r="DY68" i="1"/>
  <c r="DV68" i="1"/>
  <c r="DU68" i="1"/>
  <c r="DT68" i="1"/>
  <c r="DS68" i="1"/>
  <c r="DR68" i="1"/>
  <c r="DQ68" i="1"/>
  <c r="DP68" i="1"/>
  <c r="DO68" i="1"/>
  <c r="DN68" i="1"/>
  <c r="DM68" i="1"/>
  <c r="DL68" i="1"/>
  <c r="DK68" i="1"/>
  <c r="DJ68" i="1"/>
  <c r="DI68" i="1"/>
  <c r="DH68" i="1"/>
  <c r="DF68" i="1"/>
  <c r="CY68" i="1"/>
  <c r="DX68" i="1" s="1"/>
  <c r="CX68" i="1"/>
  <c r="CH68" i="1"/>
  <c r="CD68" i="1"/>
  <c r="CC68" i="1"/>
  <c r="CB68" i="1"/>
  <c r="CA68" i="1"/>
  <c r="BX68" i="1"/>
  <c r="BW68" i="1"/>
  <c r="BV68" i="1"/>
  <c r="BU68" i="1"/>
  <c r="BT68" i="1"/>
  <c r="BS68" i="1"/>
  <c r="BR68" i="1"/>
  <c r="BQ68" i="1"/>
  <c r="BP68" i="1"/>
  <c r="BO68" i="1"/>
  <c r="BN68" i="1"/>
  <c r="BM68" i="1"/>
  <c r="BL68" i="1"/>
  <c r="BK68" i="1"/>
  <c r="BJ68" i="1"/>
  <c r="BH68" i="1"/>
  <c r="BA68" i="1"/>
  <c r="BZ68" i="1" s="1"/>
  <c r="AZ68" i="1"/>
  <c r="AJ68" i="1"/>
  <c r="BI68" i="1" s="1"/>
  <c r="AA68" i="1"/>
  <c r="K68" i="1"/>
  <c r="EA67" i="1"/>
  <c r="DZ67" i="1"/>
  <c r="DY67" i="1"/>
  <c r="DX67" i="1"/>
  <c r="DW67" i="1"/>
  <c r="DV67" i="1"/>
  <c r="DU67" i="1"/>
  <c r="DT67" i="1"/>
  <c r="DS67" i="1"/>
  <c r="DR67" i="1"/>
  <c r="DQ67" i="1"/>
  <c r="DP67" i="1"/>
  <c r="DO67" i="1"/>
  <c r="DN67" i="1"/>
  <c r="DM67" i="1"/>
  <c r="DL67" i="1"/>
  <c r="DK67" i="1"/>
  <c r="DJ67" i="1"/>
  <c r="DI67" i="1"/>
  <c r="DH67" i="1"/>
  <c r="DF67" i="1"/>
  <c r="DC67" i="1"/>
  <c r="CH67" i="1"/>
  <c r="CC67" i="1"/>
  <c r="CB67" i="1"/>
  <c r="CA67" i="1"/>
  <c r="BZ67" i="1"/>
  <c r="BY67" i="1"/>
  <c r="BX67" i="1"/>
  <c r="BW67" i="1"/>
  <c r="BV67" i="1"/>
  <c r="BU67" i="1"/>
  <c r="BT67" i="1"/>
  <c r="BS67" i="1"/>
  <c r="BR67" i="1"/>
  <c r="BQ67" i="1"/>
  <c r="BP67" i="1"/>
  <c r="BO67" i="1"/>
  <c r="BN67" i="1"/>
  <c r="BM67" i="1"/>
  <c r="BL67" i="1"/>
  <c r="BK67" i="1"/>
  <c r="BJ67" i="1"/>
  <c r="BH67" i="1"/>
  <c r="BE67" i="1"/>
  <c r="AJ67" i="1"/>
  <c r="AF67" i="1"/>
  <c r="K67" i="1"/>
  <c r="G67" i="1" s="1"/>
  <c r="EB66" i="1"/>
  <c r="EA66" i="1"/>
  <c r="DZ66" i="1"/>
  <c r="DY66" i="1"/>
  <c r="DX66" i="1"/>
  <c r="DW66" i="1"/>
  <c r="DV66" i="1"/>
  <c r="DT66" i="1"/>
  <c r="DS66" i="1"/>
  <c r="DR66" i="1"/>
  <c r="DQ66" i="1"/>
  <c r="DP66" i="1"/>
  <c r="DO66" i="1"/>
  <c r="DN66" i="1"/>
  <c r="DM66" i="1"/>
  <c r="DL66" i="1"/>
  <c r="DK66" i="1"/>
  <c r="DJ66" i="1"/>
  <c r="DI66" i="1"/>
  <c r="DH66" i="1"/>
  <c r="DF66" i="1"/>
  <c r="CV66" i="1"/>
  <c r="CH66" i="1"/>
  <c r="CD66" i="1"/>
  <c r="CC66" i="1"/>
  <c r="CB66" i="1"/>
  <c r="CA66" i="1"/>
  <c r="BZ66" i="1"/>
  <c r="BY66" i="1"/>
  <c r="BX66" i="1"/>
  <c r="BV66" i="1"/>
  <c r="BU66" i="1"/>
  <c r="BT66" i="1"/>
  <c r="BS66" i="1"/>
  <c r="BR66" i="1"/>
  <c r="BQ66" i="1"/>
  <c r="BP66" i="1"/>
  <c r="BO66" i="1"/>
  <c r="BN66" i="1"/>
  <c r="BM66" i="1"/>
  <c r="BL66" i="1"/>
  <c r="BK66" i="1"/>
  <c r="BJ66" i="1"/>
  <c r="BH66" i="1"/>
  <c r="AX66" i="1"/>
  <c r="BW66" i="1" s="1"/>
  <c r="AJ66" i="1"/>
  <c r="BI66" i="1" s="1"/>
  <c r="Y66" i="1"/>
  <c r="G66" i="1"/>
  <c r="EA65" i="1"/>
  <c r="DZ65" i="1"/>
  <c r="DY65" i="1"/>
  <c r="DX65" i="1"/>
  <c r="DW65" i="1"/>
  <c r="DV65" i="1"/>
  <c r="DU65" i="1"/>
  <c r="DT65" i="1"/>
  <c r="DS65" i="1"/>
  <c r="DR65" i="1"/>
  <c r="DQ65" i="1"/>
  <c r="DP65" i="1"/>
  <c r="DO65" i="1"/>
  <c r="DN65" i="1"/>
  <c r="DM65" i="1"/>
  <c r="DL65" i="1"/>
  <c r="DK65" i="1"/>
  <c r="DJ65" i="1"/>
  <c r="DI65" i="1"/>
  <c r="DH65" i="1"/>
  <c r="DG65" i="1"/>
  <c r="DF65" i="1"/>
  <c r="DC65" i="1"/>
  <c r="CF65" i="1" s="1"/>
  <c r="CC65" i="1"/>
  <c r="CB65" i="1"/>
  <c r="CA65" i="1"/>
  <c r="BZ65" i="1"/>
  <c r="BY65" i="1"/>
  <c r="BX65" i="1"/>
  <c r="BW65" i="1"/>
  <c r="BV65" i="1"/>
  <c r="BU65" i="1"/>
  <c r="BT65" i="1"/>
  <c r="BS65" i="1"/>
  <c r="BR65" i="1"/>
  <c r="BQ65" i="1"/>
  <c r="BP65" i="1"/>
  <c r="BO65" i="1"/>
  <c r="BN65" i="1"/>
  <c r="BM65" i="1"/>
  <c r="BL65" i="1"/>
  <c r="BK65" i="1"/>
  <c r="BJ65" i="1"/>
  <c r="BI65" i="1"/>
  <c r="BH65" i="1"/>
  <c r="BE65" i="1"/>
  <c r="AF65" i="1"/>
  <c r="EB65" i="1" s="1"/>
  <c r="EB64" i="1"/>
  <c r="EA64" i="1"/>
  <c r="DZ64" i="1"/>
  <c r="DY64" i="1"/>
  <c r="DX64" i="1"/>
  <c r="DW64" i="1"/>
  <c r="DV64" i="1"/>
  <c r="DU64" i="1"/>
  <c r="DT64" i="1"/>
  <c r="DS64" i="1"/>
  <c r="DR64" i="1"/>
  <c r="DQ64" i="1"/>
  <c r="DP64" i="1"/>
  <c r="DO64" i="1"/>
  <c r="DN64" i="1"/>
  <c r="DM64" i="1"/>
  <c r="DL64" i="1"/>
  <c r="DK64" i="1"/>
  <c r="DJ64" i="1"/>
  <c r="DI64" i="1"/>
  <c r="DH64" i="1"/>
  <c r="DE64" i="1" s="1"/>
  <c r="DG64" i="1"/>
  <c r="DF64" i="1"/>
  <c r="DD64" i="1"/>
  <c r="CF64" i="1"/>
  <c r="CD64" i="1"/>
  <c r="CC64" i="1"/>
  <c r="CB64" i="1"/>
  <c r="CA64" i="1"/>
  <c r="BZ64" i="1"/>
  <c r="BY64" i="1"/>
  <c r="BX64" i="1"/>
  <c r="BW64" i="1"/>
  <c r="BV64" i="1"/>
  <c r="BU64" i="1"/>
  <c r="BT64" i="1"/>
  <c r="BS64" i="1"/>
  <c r="BR64" i="1"/>
  <c r="BQ64" i="1"/>
  <c r="BP64" i="1"/>
  <c r="BO64" i="1"/>
  <c r="BN64" i="1"/>
  <c r="BM64" i="1"/>
  <c r="BL64" i="1"/>
  <c r="BK64" i="1"/>
  <c r="BJ64" i="1"/>
  <c r="BI64" i="1"/>
  <c r="BH64" i="1"/>
  <c r="AH64" i="1"/>
  <c r="H64" i="1"/>
  <c r="G64" i="1"/>
  <c r="ED64" i="1" s="1"/>
  <c r="EA63" i="1"/>
  <c r="DZ63" i="1"/>
  <c r="DY63" i="1"/>
  <c r="DV63" i="1"/>
  <c r="DU63" i="1"/>
  <c r="DT63" i="1"/>
  <c r="DS63" i="1"/>
  <c r="DR63" i="1"/>
  <c r="DQ63" i="1"/>
  <c r="DP63" i="1"/>
  <c r="DO63" i="1"/>
  <c r="DN63" i="1"/>
  <c r="DM63" i="1"/>
  <c r="DL63" i="1"/>
  <c r="DJ63" i="1"/>
  <c r="DI63" i="1"/>
  <c r="DH63" i="1"/>
  <c r="DF63" i="1"/>
  <c r="DC63" i="1"/>
  <c r="CY63" i="1"/>
  <c r="DX63" i="1" s="1"/>
  <c r="CX63" i="1"/>
  <c r="CL63" i="1"/>
  <c r="DK63" i="1" s="1"/>
  <c r="CH63" i="1"/>
  <c r="DG63" i="1" s="1"/>
  <c r="CC63" i="1"/>
  <c r="CB63" i="1"/>
  <c r="CA63" i="1"/>
  <c r="BX63" i="1"/>
  <c r="BW63" i="1"/>
  <c r="BV63" i="1"/>
  <c r="BU63" i="1"/>
  <c r="BT63" i="1"/>
  <c r="BS63" i="1"/>
  <c r="BR63" i="1"/>
  <c r="BQ63" i="1"/>
  <c r="BP63" i="1"/>
  <c r="BO63" i="1"/>
  <c r="BN63" i="1"/>
  <c r="BL63" i="1"/>
  <c r="BK63" i="1"/>
  <c r="BJ63" i="1"/>
  <c r="BH63" i="1"/>
  <c r="BE63" i="1"/>
  <c r="BA63" i="1"/>
  <c r="BZ63" i="1" s="1"/>
  <c r="AZ63" i="1"/>
  <c r="AN63" i="1"/>
  <c r="BM63" i="1" s="1"/>
  <c r="AJ63" i="1"/>
  <c r="AF63" i="1"/>
  <c r="AA63" i="1"/>
  <c r="K63" i="1"/>
  <c r="EB62" i="1"/>
  <c r="EA62" i="1"/>
  <c r="DZ62" i="1"/>
  <c r="DY62" i="1"/>
  <c r="DV62" i="1"/>
  <c r="DU62" i="1"/>
  <c r="DT62" i="1"/>
  <c r="DS62" i="1"/>
  <c r="DR62" i="1"/>
  <c r="DQ62" i="1"/>
  <c r="DP62" i="1"/>
  <c r="DO62" i="1"/>
  <c r="DN62" i="1"/>
  <c r="DM62" i="1"/>
  <c r="DL62" i="1"/>
  <c r="DJ62" i="1"/>
  <c r="DI62" i="1"/>
  <c r="DH62" i="1"/>
  <c r="DF62" i="1"/>
  <c r="CY62" i="1"/>
  <c r="DX62" i="1" s="1"/>
  <c r="CX62" i="1"/>
  <c r="CL62" i="1"/>
  <c r="CH62" i="1"/>
  <c r="CD62" i="1"/>
  <c r="CC62" i="1"/>
  <c r="CB62" i="1"/>
  <c r="CA62" i="1"/>
  <c r="BX62" i="1"/>
  <c r="BW62" i="1"/>
  <c r="BV62" i="1"/>
  <c r="BU62" i="1"/>
  <c r="BT62" i="1"/>
  <c r="BS62" i="1"/>
  <c r="BR62" i="1"/>
  <c r="BQ62" i="1"/>
  <c r="BP62" i="1"/>
  <c r="BO62" i="1"/>
  <c r="BN62" i="1"/>
  <c r="BL62" i="1"/>
  <c r="BK62" i="1"/>
  <c r="BJ62" i="1"/>
  <c r="BH62" i="1"/>
  <c r="BA62" i="1"/>
  <c r="BZ62" i="1" s="1"/>
  <c r="AZ62" i="1"/>
  <c r="AN62" i="1"/>
  <c r="BM62" i="1" s="1"/>
  <c r="AJ62" i="1"/>
  <c r="BI62" i="1" s="1"/>
  <c r="AB62" i="1"/>
  <c r="AA62" i="1"/>
  <c r="K62" i="1"/>
  <c r="EB61" i="1"/>
  <c r="EA61" i="1"/>
  <c r="DZ61" i="1"/>
  <c r="DY61" i="1"/>
  <c r="DX61" i="1"/>
  <c r="DV61" i="1"/>
  <c r="DU61" i="1"/>
  <c r="DT61" i="1"/>
  <c r="DS61" i="1"/>
  <c r="DR61" i="1"/>
  <c r="DQ61" i="1"/>
  <c r="DP61" i="1"/>
  <c r="DO61" i="1"/>
  <c r="DN61" i="1"/>
  <c r="DM61" i="1"/>
  <c r="DL61" i="1"/>
  <c r="DK61" i="1"/>
  <c r="DJ61" i="1"/>
  <c r="DI61" i="1"/>
  <c r="DH61" i="1"/>
  <c r="DF61" i="1"/>
  <c r="CX61" i="1"/>
  <c r="CH61" i="1"/>
  <c r="DG61" i="1" s="1"/>
  <c r="CD61" i="1"/>
  <c r="CC61" i="1"/>
  <c r="CB61" i="1"/>
  <c r="CA61" i="1"/>
  <c r="BZ61" i="1"/>
  <c r="BX61" i="1"/>
  <c r="BW61" i="1"/>
  <c r="BV61" i="1"/>
  <c r="BU61" i="1"/>
  <c r="BT61" i="1"/>
  <c r="BS61" i="1"/>
  <c r="BR61" i="1"/>
  <c r="BQ61" i="1"/>
  <c r="BP61" i="1"/>
  <c r="BO61" i="1"/>
  <c r="BN61" i="1"/>
  <c r="BM61" i="1"/>
  <c r="BL61" i="1"/>
  <c r="BK61" i="1"/>
  <c r="BJ61" i="1"/>
  <c r="BH61" i="1"/>
  <c r="AZ61" i="1"/>
  <c r="AJ61" i="1"/>
  <c r="AA61" i="1"/>
  <c r="K61" i="1"/>
  <c r="EB60" i="1"/>
  <c r="EA60" i="1"/>
  <c r="DZ60" i="1"/>
  <c r="DY60" i="1"/>
  <c r="DV60" i="1"/>
  <c r="DU60" i="1"/>
  <c r="DT60" i="1"/>
  <c r="DS60" i="1"/>
  <c r="DR60" i="1"/>
  <c r="DQ60" i="1"/>
  <c r="DP60" i="1"/>
  <c r="DO60" i="1"/>
  <c r="DN60" i="1"/>
  <c r="DM60" i="1"/>
  <c r="DL60" i="1"/>
  <c r="DK60" i="1"/>
  <c r="DJ60" i="1"/>
  <c r="DI60" i="1"/>
  <c r="DH60" i="1"/>
  <c r="DF60" i="1"/>
  <c r="CY60" i="1"/>
  <c r="CX60" i="1"/>
  <c r="CH60" i="1"/>
  <c r="CD60" i="1"/>
  <c r="CC60" i="1"/>
  <c r="CB60" i="1"/>
  <c r="CA60" i="1"/>
  <c r="BX60" i="1"/>
  <c r="BW60" i="1"/>
  <c r="BV60" i="1"/>
  <c r="BU60" i="1"/>
  <c r="BT60" i="1"/>
  <c r="BS60" i="1"/>
  <c r="BR60" i="1"/>
  <c r="BQ60" i="1"/>
  <c r="BP60" i="1"/>
  <c r="BO60" i="1"/>
  <c r="BN60" i="1"/>
  <c r="BM60" i="1"/>
  <c r="BL60" i="1"/>
  <c r="BK60" i="1"/>
  <c r="BJ60" i="1"/>
  <c r="BH60" i="1"/>
  <c r="BA60" i="1"/>
  <c r="AZ60" i="1"/>
  <c r="AJ60" i="1"/>
  <c r="AB60" i="1"/>
  <c r="AA60" i="1"/>
  <c r="K60" i="1"/>
  <c r="EB59" i="1"/>
  <c r="EA59" i="1"/>
  <c r="DZ59" i="1"/>
  <c r="DY59" i="1"/>
  <c r="DX59" i="1"/>
  <c r="DW59" i="1"/>
  <c r="DV59" i="1"/>
  <c r="DU59" i="1"/>
  <c r="DT59" i="1"/>
  <c r="DS59" i="1"/>
  <c r="DR59" i="1"/>
  <c r="DQ59" i="1"/>
  <c r="DP59" i="1"/>
  <c r="DO59" i="1"/>
  <c r="DN59" i="1"/>
  <c r="DM59" i="1"/>
  <c r="DL59" i="1"/>
  <c r="DK59" i="1"/>
  <c r="DJ59" i="1"/>
  <c r="DI59" i="1"/>
  <c r="DH59" i="1"/>
  <c r="DF59" i="1"/>
  <c r="CH59" i="1"/>
  <c r="CF59" i="1" s="1"/>
  <c r="CD59" i="1"/>
  <c r="CC59" i="1"/>
  <c r="CB59" i="1"/>
  <c r="CA59" i="1"/>
  <c r="BZ59" i="1"/>
  <c r="BY59" i="1"/>
  <c r="BX59" i="1"/>
  <c r="BW59" i="1"/>
  <c r="BV59" i="1"/>
  <c r="BU59" i="1"/>
  <c r="BT59" i="1"/>
  <c r="BS59" i="1"/>
  <c r="BR59" i="1"/>
  <c r="BQ59" i="1"/>
  <c r="BP59" i="1"/>
  <c r="BO59" i="1"/>
  <c r="BN59" i="1"/>
  <c r="BM59" i="1"/>
  <c r="BL59" i="1"/>
  <c r="BK59" i="1"/>
  <c r="BJ59" i="1"/>
  <c r="BH59" i="1"/>
  <c r="AJ59" i="1"/>
  <c r="AH59" i="1" s="1"/>
  <c r="K59" i="1"/>
  <c r="EB58" i="1"/>
  <c r="EA58" i="1"/>
  <c r="DZ58" i="1"/>
  <c r="DY58" i="1"/>
  <c r="DX58" i="1"/>
  <c r="DV58" i="1"/>
  <c r="DU58" i="1"/>
  <c r="DT58" i="1"/>
  <c r="DS58" i="1"/>
  <c r="DR58" i="1"/>
  <c r="DQ58" i="1"/>
  <c r="DP58" i="1"/>
  <c r="DO58" i="1"/>
  <c r="DN58" i="1"/>
  <c r="DM58" i="1"/>
  <c r="DL58" i="1"/>
  <c r="DK58" i="1"/>
  <c r="DJ58" i="1"/>
  <c r="DI58" i="1"/>
  <c r="DH58" i="1"/>
  <c r="DF58" i="1"/>
  <c r="CX58" i="1"/>
  <c r="CH58" i="1"/>
  <c r="CF58" i="1" s="1"/>
  <c r="CD58" i="1"/>
  <c r="CC58" i="1"/>
  <c r="CB58" i="1"/>
  <c r="CA58" i="1"/>
  <c r="BZ58" i="1"/>
  <c r="BX58" i="1"/>
  <c r="BW58" i="1"/>
  <c r="BV58" i="1"/>
  <c r="BU58" i="1"/>
  <c r="BT58" i="1"/>
  <c r="BS58" i="1"/>
  <c r="BR58" i="1"/>
  <c r="BQ58" i="1"/>
  <c r="BP58" i="1"/>
  <c r="BO58" i="1"/>
  <c r="BN58" i="1"/>
  <c r="BM58" i="1"/>
  <c r="BL58" i="1"/>
  <c r="BK58" i="1"/>
  <c r="BJ58" i="1"/>
  <c r="BH58" i="1"/>
  <c r="AZ58" i="1"/>
  <c r="AJ58" i="1"/>
  <c r="AA58" i="1"/>
  <c r="K58" i="1"/>
  <c r="EB57" i="1"/>
  <c r="EA57" i="1"/>
  <c r="DZ57" i="1"/>
  <c r="DY57" i="1"/>
  <c r="DX57" i="1"/>
  <c r="DW57" i="1"/>
  <c r="DV57" i="1"/>
  <c r="DU57" i="1"/>
  <c r="DT57" i="1"/>
  <c r="DS57" i="1"/>
  <c r="DR57" i="1"/>
  <c r="DQ57" i="1"/>
  <c r="DP57" i="1"/>
  <c r="DO57" i="1"/>
  <c r="DN57" i="1"/>
  <c r="DM57" i="1"/>
  <c r="DL57" i="1"/>
  <c r="DK57" i="1"/>
  <c r="DJ57" i="1"/>
  <c r="DI57" i="1"/>
  <c r="DH57" i="1"/>
  <c r="DF57" i="1"/>
  <c r="CH57" i="1"/>
  <c r="CD57" i="1"/>
  <c r="CC57" i="1"/>
  <c r="CB57" i="1"/>
  <c r="CA57" i="1"/>
  <c r="BZ57" i="1"/>
  <c r="BY57" i="1"/>
  <c r="BX57" i="1"/>
  <c r="BW57" i="1"/>
  <c r="BV57" i="1"/>
  <c r="BU57" i="1"/>
  <c r="BT57" i="1"/>
  <c r="BS57" i="1"/>
  <c r="BR57" i="1"/>
  <c r="BQ57" i="1"/>
  <c r="BP57" i="1"/>
  <c r="BO57" i="1"/>
  <c r="BN57" i="1"/>
  <c r="BM57" i="1"/>
  <c r="BL57" i="1"/>
  <c r="BK57" i="1"/>
  <c r="BJ57" i="1"/>
  <c r="BH57" i="1"/>
  <c r="AJ57" i="1"/>
  <c r="AH57" i="1" s="1"/>
  <c r="K57" i="1"/>
  <c r="G57" i="1"/>
  <c r="ED57" i="1" s="1"/>
  <c r="EB56" i="1"/>
  <c r="EA56" i="1"/>
  <c r="DZ56" i="1"/>
  <c r="DY56" i="1"/>
  <c r="DV56" i="1"/>
  <c r="DU56" i="1"/>
  <c r="DT56" i="1"/>
  <c r="DS56" i="1"/>
  <c r="DR56" i="1"/>
  <c r="DQ56" i="1"/>
  <c r="DP56" i="1"/>
  <c r="DO56" i="1"/>
  <c r="DN56" i="1"/>
  <c r="DM56" i="1"/>
  <c r="DL56" i="1"/>
  <c r="DK56" i="1"/>
  <c r="DJ56" i="1"/>
  <c r="DI56" i="1"/>
  <c r="DH56" i="1"/>
  <c r="DF56" i="1"/>
  <c r="CY56" i="1"/>
  <c r="DX56" i="1" s="1"/>
  <c r="CX56" i="1"/>
  <c r="CH56" i="1"/>
  <c r="CD56" i="1"/>
  <c r="CC56" i="1"/>
  <c r="CB56" i="1"/>
  <c r="CA56" i="1"/>
  <c r="BX56" i="1"/>
  <c r="BW56" i="1"/>
  <c r="BV56" i="1"/>
  <c r="BU56" i="1"/>
  <c r="BT56" i="1"/>
  <c r="BS56" i="1"/>
  <c r="BR56" i="1"/>
  <c r="BQ56" i="1"/>
  <c r="BP56" i="1"/>
  <c r="BO56" i="1"/>
  <c r="BN56" i="1"/>
  <c r="BM56" i="1"/>
  <c r="BL56" i="1"/>
  <c r="BK56" i="1"/>
  <c r="BJ56" i="1"/>
  <c r="BH56" i="1"/>
  <c r="BA56" i="1"/>
  <c r="AZ56" i="1"/>
  <c r="AJ56" i="1"/>
  <c r="AB56" i="1"/>
  <c r="AA56" i="1"/>
  <c r="K56" i="1"/>
  <c r="EA55" i="1"/>
  <c r="DZ55" i="1"/>
  <c r="DY55" i="1"/>
  <c r="DV55" i="1"/>
  <c r="DU55" i="1"/>
  <c r="DT55" i="1"/>
  <c r="DS55" i="1"/>
  <c r="DR55" i="1"/>
  <c r="DQ55" i="1"/>
  <c r="DP55" i="1"/>
  <c r="DO55" i="1"/>
  <c r="DN55" i="1"/>
  <c r="DM55" i="1"/>
  <c r="DL55" i="1"/>
  <c r="DK55" i="1"/>
  <c r="DJ55" i="1"/>
  <c r="DI55" i="1"/>
  <c r="DH55" i="1"/>
  <c r="DF55" i="1"/>
  <c r="DC55" i="1"/>
  <c r="CY55" i="1"/>
  <c r="CX55" i="1"/>
  <c r="CH55" i="1"/>
  <c r="CC55" i="1"/>
  <c r="CB55" i="1"/>
  <c r="CA55" i="1"/>
  <c r="BX55" i="1"/>
  <c r="BW55" i="1"/>
  <c r="BV55" i="1"/>
  <c r="BU55" i="1"/>
  <c r="BT55" i="1"/>
  <c r="BS55" i="1"/>
  <c r="BR55" i="1"/>
  <c r="BQ55" i="1"/>
  <c r="BP55" i="1"/>
  <c r="BO55" i="1"/>
  <c r="BN55" i="1"/>
  <c r="BM55" i="1"/>
  <c r="BL55" i="1"/>
  <c r="BK55" i="1"/>
  <c r="BJ55" i="1"/>
  <c r="BH55" i="1"/>
  <c r="BE55" i="1"/>
  <c r="BA55" i="1"/>
  <c r="AZ55" i="1"/>
  <c r="AJ55" i="1"/>
  <c r="AF55" i="1"/>
  <c r="AB55" i="1"/>
  <c r="AA55" i="1"/>
  <c r="K55" i="1"/>
  <c r="H55" i="1"/>
  <c r="EA54" i="1"/>
  <c r="DZ54" i="1"/>
  <c r="DY54" i="1"/>
  <c r="DX54" i="1"/>
  <c r="DV54" i="1"/>
  <c r="DU54" i="1"/>
  <c r="DT54" i="1"/>
  <c r="DS54" i="1"/>
  <c r="DR54" i="1"/>
  <c r="DQ54" i="1"/>
  <c r="DP54" i="1"/>
  <c r="DO54" i="1"/>
  <c r="DN54" i="1"/>
  <c r="DM54" i="1"/>
  <c r="DL54" i="1"/>
  <c r="DK54" i="1"/>
  <c r="DJ54" i="1"/>
  <c r="DI54" i="1"/>
  <c r="DH54" i="1"/>
  <c r="DF54" i="1"/>
  <c r="DC54" i="1"/>
  <c r="CH54" i="1"/>
  <c r="CC54" i="1"/>
  <c r="CB54" i="1"/>
  <c r="CA54" i="1"/>
  <c r="BZ54" i="1"/>
  <c r="BX54" i="1"/>
  <c r="BW54" i="1"/>
  <c r="BV54" i="1"/>
  <c r="BU54" i="1"/>
  <c r="BT54" i="1"/>
  <c r="BS54" i="1"/>
  <c r="BR54" i="1"/>
  <c r="BQ54" i="1"/>
  <c r="BP54" i="1"/>
  <c r="BO54" i="1"/>
  <c r="BN54" i="1"/>
  <c r="BM54" i="1"/>
  <c r="BL54" i="1"/>
  <c r="BK54" i="1"/>
  <c r="BJ54" i="1"/>
  <c r="BH54" i="1"/>
  <c r="BE54" i="1"/>
  <c r="CD54" i="1" s="1"/>
  <c r="AJ54" i="1"/>
  <c r="AF54" i="1"/>
  <c r="AA54" i="1"/>
  <c r="G54" i="1" s="1"/>
  <c r="K54" i="1"/>
  <c r="EB53" i="1"/>
  <c r="EA53" i="1"/>
  <c r="DZ53" i="1"/>
  <c r="DY53" i="1"/>
  <c r="DX53" i="1"/>
  <c r="DW53" i="1"/>
  <c r="DV53" i="1"/>
  <c r="DU53" i="1"/>
  <c r="DT53" i="1"/>
  <c r="DS53" i="1"/>
  <c r="DR53" i="1"/>
  <c r="DQ53" i="1"/>
  <c r="DP53" i="1"/>
  <c r="DO53" i="1"/>
  <c r="DN53" i="1"/>
  <c r="DM53" i="1"/>
  <c r="DL53" i="1"/>
  <c r="DK53" i="1"/>
  <c r="DJ53" i="1"/>
  <c r="DI53" i="1"/>
  <c r="DH53" i="1"/>
  <c r="DG53" i="1"/>
  <c r="DE53" i="1" s="1"/>
  <c r="DF53" i="1"/>
  <c r="CH53" i="1"/>
  <c r="CF53" i="1" s="1"/>
  <c r="CD53" i="1"/>
  <c r="CC53" i="1"/>
  <c r="CB53" i="1"/>
  <c r="CA53" i="1"/>
  <c r="BZ53" i="1"/>
  <c r="BX53" i="1"/>
  <c r="BW53" i="1"/>
  <c r="BV53" i="1"/>
  <c r="BU53" i="1"/>
  <c r="BT53" i="1"/>
  <c r="BS53" i="1"/>
  <c r="BR53" i="1"/>
  <c r="BQ53" i="1"/>
  <c r="BP53" i="1"/>
  <c r="BO53" i="1"/>
  <c r="BN53" i="1"/>
  <c r="BM53" i="1"/>
  <c r="BL53" i="1"/>
  <c r="BK53" i="1"/>
  <c r="BJ53" i="1"/>
  <c r="BH53" i="1"/>
  <c r="AJ53" i="1"/>
  <c r="AH53" i="1" s="1"/>
  <c r="AA53" i="1"/>
  <c r="BY53" i="1" s="1"/>
  <c r="K53" i="1"/>
  <c r="G53" i="1"/>
  <c r="EB52" i="1"/>
  <c r="EA52" i="1"/>
  <c r="DZ52" i="1"/>
  <c r="DY52" i="1"/>
  <c r="DX52" i="1"/>
  <c r="DV52" i="1"/>
  <c r="DU52" i="1"/>
  <c r="DT52" i="1"/>
  <c r="DS52" i="1"/>
  <c r="DR52" i="1"/>
  <c r="DQ52" i="1"/>
  <c r="DP52" i="1"/>
  <c r="DO52" i="1"/>
  <c r="DO77" i="1" s="1"/>
  <c r="DN52" i="1"/>
  <c r="DM52" i="1"/>
  <c r="DL52" i="1"/>
  <c r="DK52" i="1"/>
  <c r="DJ52" i="1"/>
  <c r="DI52" i="1"/>
  <c r="DH52" i="1"/>
  <c r="DF52" i="1"/>
  <c r="CX52" i="1"/>
  <c r="CH52" i="1"/>
  <c r="CC52" i="1"/>
  <c r="CB52" i="1"/>
  <c r="CA52" i="1"/>
  <c r="BZ52" i="1"/>
  <c r="BX52" i="1"/>
  <c r="BW52" i="1"/>
  <c r="BV52" i="1"/>
  <c r="BU52" i="1"/>
  <c r="BT52" i="1"/>
  <c r="BS52" i="1"/>
  <c r="BR52" i="1"/>
  <c r="BQ52" i="1"/>
  <c r="BP52" i="1"/>
  <c r="BO52" i="1"/>
  <c r="BN52" i="1"/>
  <c r="BM52" i="1"/>
  <c r="BL52" i="1"/>
  <c r="BK52" i="1"/>
  <c r="BJ52" i="1"/>
  <c r="BH52" i="1"/>
  <c r="AZ52" i="1"/>
  <c r="AJ52" i="1"/>
  <c r="AH52" i="1" s="1"/>
  <c r="AF52" i="1"/>
  <c r="CD52" i="1" s="1"/>
  <c r="AA52" i="1"/>
  <c r="K52" i="1"/>
  <c r="G52" i="1"/>
  <c r="I52" i="1" s="1"/>
  <c r="EA51" i="1"/>
  <c r="DZ51" i="1"/>
  <c r="DY51" i="1"/>
  <c r="DX51" i="1"/>
  <c r="DV51" i="1"/>
  <c r="DU51" i="1"/>
  <c r="DT51" i="1"/>
  <c r="DS51" i="1"/>
  <c r="DR51" i="1"/>
  <c r="DQ51" i="1"/>
  <c r="DP51" i="1"/>
  <c r="DO51" i="1"/>
  <c r="DN51" i="1"/>
  <c r="DM51" i="1"/>
  <c r="DL51" i="1"/>
  <c r="DK51" i="1"/>
  <c r="DJ51" i="1"/>
  <c r="DI51" i="1"/>
  <c r="DH51" i="1"/>
  <c r="DF51" i="1"/>
  <c r="DC51" i="1"/>
  <c r="CH51" i="1"/>
  <c r="CC51" i="1"/>
  <c r="CB51" i="1"/>
  <c r="CA51" i="1"/>
  <c r="BZ51" i="1"/>
  <c r="BX51" i="1"/>
  <c r="BW51" i="1"/>
  <c r="BV51" i="1"/>
  <c r="BU51" i="1"/>
  <c r="BT51" i="1"/>
  <c r="BS51" i="1"/>
  <c r="BR51" i="1"/>
  <c r="BQ51" i="1"/>
  <c r="BP51" i="1"/>
  <c r="BO51" i="1"/>
  <c r="BN51" i="1"/>
  <c r="BM51" i="1"/>
  <c r="BL51" i="1"/>
  <c r="BK51" i="1"/>
  <c r="BJ51" i="1"/>
  <c r="BH51" i="1"/>
  <c r="BE51" i="1"/>
  <c r="CD51" i="1" s="1"/>
  <c r="AJ51" i="1"/>
  <c r="AF51" i="1"/>
  <c r="AA51" i="1"/>
  <c r="DW51" i="1" s="1"/>
  <c r="K51" i="1"/>
  <c r="DB50" i="1"/>
  <c r="CZ50" i="1"/>
  <c r="CW50" i="1"/>
  <c r="CT50" i="1"/>
  <c r="CS50" i="1"/>
  <c r="CM50" i="1"/>
  <c r="CL50" i="1"/>
  <c r="CK50" i="1"/>
  <c r="CJ50" i="1"/>
  <c r="CI50" i="1"/>
  <c r="CG50" i="1"/>
  <c r="BD50" i="1"/>
  <c r="BB50" i="1"/>
  <c r="AY50" i="1"/>
  <c r="AV50" i="1"/>
  <c r="AU50" i="1"/>
  <c r="AO50" i="1"/>
  <c r="AN50" i="1"/>
  <c r="AM50" i="1"/>
  <c r="AL50" i="1"/>
  <c r="AK50" i="1"/>
  <c r="AI50" i="1"/>
  <c r="AE50" i="1"/>
  <c r="AC50" i="1"/>
  <c r="AB50" i="1"/>
  <c r="Z50" i="1"/>
  <c r="W50" i="1"/>
  <c r="V50" i="1"/>
  <c r="T50" i="1"/>
  <c r="P50" i="1"/>
  <c r="O50" i="1"/>
  <c r="N50" i="1"/>
  <c r="M50" i="1"/>
  <c r="L50" i="1"/>
  <c r="J50" i="1"/>
  <c r="EA49" i="1"/>
  <c r="DZ49" i="1"/>
  <c r="DY49" i="1"/>
  <c r="DX49" i="1"/>
  <c r="DV49" i="1"/>
  <c r="DU49" i="1"/>
  <c r="DT49" i="1"/>
  <c r="DS49" i="1"/>
  <c r="DR49" i="1"/>
  <c r="DP49" i="1"/>
  <c r="DO49" i="1"/>
  <c r="DN49" i="1"/>
  <c r="DL49" i="1"/>
  <c r="DK49" i="1"/>
  <c r="DJ49" i="1"/>
  <c r="DI49" i="1"/>
  <c r="DH49" i="1"/>
  <c r="DF49" i="1"/>
  <c r="DC49" i="1"/>
  <c r="CX49" i="1"/>
  <c r="DW49" i="1" s="1"/>
  <c r="CR49" i="1"/>
  <c r="CN49" i="1"/>
  <c r="CH49" i="1"/>
  <c r="CC49" i="1"/>
  <c r="CB49" i="1"/>
  <c r="CA49" i="1"/>
  <c r="BZ49" i="1"/>
  <c r="BX49" i="1"/>
  <c r="BW49" i="1"/>
  <c r="BV49" i="1"/>
  <c r="BU49" i="1"/>
  <c r="BT49" i="1"/>
  <c r="BR49" i="1"/>
  <c r="BQ49" i="1"/>
  <c r="BP49" i="1"/>
  <c r="BN49" i="1"/>
  <c r="BM49" i="1"/>
  <c r="BL49" i="1"/>
  <c r="BK49" i="1"/>
  <c r="BJ49" i="1"/>
  <c r="BH49" i="1"/>
  <c r="BE49" i="1"/>
  <c r="AZ49" i="1"/>
  <c r="BY49" i="1" s="1"/>
  <c r="AT49" i="1"/>
  <c r="AP49" i="1"/>
  <c r="AJ49" i="1"/>
  <c r="AF49" i="1"/>
  <c r="U49" i="1"/>
  <c r="Q49" i="1"/>
  <c r="BO49" i="1" s="1"/>
  <c r="K49" i="1"/>
  <c r="EA48" i="1"/>
  <c r="DZ48" i="1"/>
  <c r="DY48" i="1"/>
  <c r="DX48" i="1"/>
  <c r="DV48" i="1"/>
  <c r="DU48" i="1"/>
  <c r="DT48" i="1"/>
  <c r="DS48" i="1"/>
  <c r="DR48" i="1"/>
  <c r="DQ48" i="1"/>
  <c r="DP48" i="1"/>
  <c r="DO48" i="1"/>
  <c r="DN48" i="1"/>
  <c r="DL48" i="1"/>
  <c r="DK48" i="1"/>
  <c r="DJ48" i="1"/>
  <c r="DI48" i="1"/>
  <c r="DH48" i="1"/>
  <c r="DG48" i="1"/>
  <c r="DF48" i="1"/>
  <c r="DC48" i="1"/>
  <c r="CX48" i="1"/>
  <c r="DW48" i="1" s="1"/>
  <c r="CN48" i="1"/>
  <c r="CC48" i="1"/>
  <c r="CB48" i="1"/>
  <c r="CA48" i="1"/>
  <c r="BZ48" i="1"/>
  <c r="BX48" i="1"/>
  <c r="BW48" i="1"/>
  <c r="BV48" i="1"/>
  <c r="BU48" i="1"/>
  <c r="BT48" i="1"/>
  <c r="BS48" i="1"/>
  <c r="BR48" i="1"/>
  <c r="BQ48" i="1"/>
  <c r="BP48" i="1"/>
  <c r="BN48" i="1"/>
  <c r="BM48" i="1"/>
  <c r="BL48" i="1"/>
  <c r="BK48" i="1"/>
  <c r="BJ48" i="1"/>
  <c r="BI48" i="1"/>
  <c r="BH48" i="1"/>
  <c r="BE48" i="1"/>
  <c r="AZ48" i="1"/>
  <c r="BY48" i="1" s="1"/>
  <c r="AP48" i="1"/>
  <c r="BO48" i="1" s="1"/>
  <c r="AF48" i="1"/>
  <c r="G48" i="1" s="1"/>
  <c r="EA47" i="1"/>
  <c r="DZ47" i="1"/>
  <c r="DY47" i="1"/>
  <c r="DX47" i="1"/>
  <c r="DV47" i="1"/>
  <c r="DU47" i="1"/>
  <c r="DT47" i="1"/>
  <c r="DS47" i="1"/>
  <c r="DR47" i="1"/>
  <c r="DQ47" i="1"/>
  <c r="DP47" i="1"/>
  <c r="DO47" i="1"/>
  <c r="DN47" i="1"/>
  <c r="DM47" i="1"/>
  <c r="DL47" i="1"/>
  <c r="DK47" i="1"/>
  <c r="DJ47" i="1"/>
  <c r="DI47" i="1"/>
  <c r="DH47" i="1"/>
  <c r="DF47" i="1"/>
  <c r="DC47" i="1"/>
  <c r="CX47" i="1"/>
  <c r="DW47" i="1" s="1"/>
  <c r="CH47" i="1"/>
  <c r="CC47" i="1"/>
  <c r="CB47" i="1"/>
  <c r="CA47" i="1"/>
  <c r="BZ47" i="1"/>
  <c r="BX47" i="1"/>
  <c r="BW47" i="1"/>
  <c r="BV47" i="1"/>
  <c r="BU47" i="1"/>
  <c r="BT47" i="1"/>
  <c r="BS47" i="1"/>
  <c r="BR47" i="1"/>
  <c r="BQ47" i="1"/>
  <c r="BP47" i="1"/>
  <c r="BO47" i="1"/>
  <c r="BN47" i="1"/>
  <c r="BM47" i="1"/>
  <c r="BL47" i="1"/>
  <c r="BK47" i="1"/>
  <c r="BJ47" i="1"/>
  <c r="BH47" i="1"/>
  <c r="BE47" i="1"/>
  <c r="AZ47" i="1"/>
  <c r="BY47" i="1" s="1"/>
  <c r="AJ47" i="1"/>
  <c r="AF47" i="1"/>
  <c r="EB46" i="1"/>
  <c r="EA46" i="1"/>
  <c r="DZ46" i="1"/>
  <c r="DY46" i="1"/>
  <c r="DV46" i="1"/>
  <c r="DT46" i="1"/>
  <c r="DS46" i="1"/>
  <c r="DR46" i="1"/>
  <c r="DQ46" i="1"/>
  <c r="DP46" i="1"/>
  <c r="DO46" i="1"/>
  <c r="DN46" i="1"/>
  <c r="DL46" i="1"/>
  <c r="DK46" i="1"/>
  <c r="DJ46" i="1"/>
  <c r="DI46" i="1"/>
  <c r="DH46" i="1"/>
  <c r="DF46" i="1"/>
  <c r="CY46" i="1"/>
  <c r="DX46" i="1" s="1"/>
  <c r="CX46" i="1"/>
  <c r="DW46" i="1" s="1"/>
  <c r="CV46" i="1"/>
  <c r="CV137" i="1" s="1"/>
  <c r="CN46" i="1"/>
  <c r="DM46" i="1" s="1"/>
  <c r="CH46" i="1"/>
  <c r="CD46" i="1"/>
  <c r="CC46" i="1"/>
  <c r="CB46" i="1"/>
  <c r="CA46" i="1"/>
  <c r="BX46" i="1"/>
  <c r="BV46" i="1"/>
  <c r="BU46" i="1"/>
  <c r="BT46" i="1"/>
  <c r="BS46" i="1"/>
  <c r="BR46" i="1"/>
  <c r="BQ46" i="1"/>
  <c r="BP46" i="1"/>
  <c r="BN46" i="1"/>
  <c r="BM46" i="1"/>
  <c r="BL46" i="1"/>
  <c r="BK46" i="1"/>
  <c r="BJ46" i="1"/>
  <c r="BH46" i="1"/>
  <c r="BA46" i="1"/>
  <c r="BZ46" i="1" s="1"/>
  <c r="AZ46" i="1"/>
  <c r="BY46" i="1" s="1"/>
  <c r="AX46" i="1"/>
  <c r="AP46" i="1"/>
  <c r="BO46" i="1" s="1"/>
  <c r="AJ46" i="1"/>
  <c r="Y46" i="1"/>
  <c r="Y137" i="1" s="1"/>
  <c r="G46" i="1"/>
  <c r="I46" i="1" s="1"/>
  <c r="EB45" i="1"/>
  <c r="EA45" i="1"/>
  <c r="DZ45" i="1"/>
  <c r="DY45" i="1"/>
  <c r="DX45" i="1"/>
  <c r="DW45" i="1"/>
  <c r="DV45" i="1"/>
  <c r="DU45" i="1"/>
  <c r="DT45" i="1"/>
  <c r="DS45" i="1"/>
  <c r="DR45" i="1"/>
  <c r="DP45" i="1"/>
  <c r="DO45" i="1"/>
  <c r="DN45" i="1"/>
  <c r="DL45" i="1"/>
  <c r="DK45" i="1"/>
  <c r="DJ45" i="1"/>
  <c r="DI45" i="1"/>
  <c r="DH45" i="1"/>
  <c r="DG45" i="1"/>
  <c r="DF45" i="1"/>
  <c r="CN45" i="1"/>
  <c r="CF45" i="1" s="1"/>
  <c r="CD45" i="1"/>
  <c r="CC45" i="1"/>
  <c r="CB45" i="1"/>
  <c r="CA45" i="1"/>
  <c r="BZ45" i="1"/>
  <c r="BY45" i="1"/>
  <c r="BX45" i="1"/>
  <c r="BW45" i="1"/>
  <c r="BV45" i="1"/>
  <c r="BU45" i="1"/>
  <c r="BT45" i="1"/>
  <c r="BR45" i="1"/>
  <c r="BQ45" i="1"/>
  <c r="BP45" i="1"/>
  <c r="BN45" i="1"/>
  <c r="BM45" i="1"/>
  <c r="BL45" i="1"/>
  <c r="BK45" i="1"/>
  <c r="BJ45" i="1"/>
  <c r="BH45" i="1"/>
  <c r="AP45" i="1"/>
  <c r="U45" i="1"/>
  <c r="DQ45" i="1" s="1"/>
  <c r="K45" i="1"/>
  <c r="BI45" i="1" s="1"/>
  <c r="EB44" i="1"/>
  <c r="EA44" i="1"/>
  <c r="DZ44" i="1"/>
  <c r="DY44" i="1"/>
  <c r="DX44" i="1"/>
  <c r="DW44" i="1"/>
  <c r="DV44" i="1"/>
  <c r="DU44" i="1"/>
  <c r="DT44" i="1"/>
  <c r="DS44" i="1"/>
  <c r="DR44" i="1"/>
  <c r="DP44" i="1"/>
  <c r="DO44" i="1"/>
  <c r="DN44" i="1"/>
  <c r="DM44" i="1"/>
  <c r="DL44" i="1"/>
  <c r="DK44" i="1"/>
  <c r="DJ44" i="1"/>
  <c r="DI44" i="1"/>
  <c r="DH44" i="1"/>
  <c r="DF44" i="1"/>
  <c r="CH44" i="1"/>
  <c r="CF44" i="1" s="1"/>
  <c r="CD44" i="1"/>
  <c r="CC44" i="1"/>
  <c r="CB44" i="1"/>
  <c r="CA44" i="1"/>
  <c r="BZ44" i="1"/>
  <c r="BY44" i="1"/>
  <c r="BX44" i="1"/>
  <c r="BW44" i="1"/>
  <c r="BV44" i="1"/>
  <c r="BU44" i="1"/>
  <c r="BT44" i="1"/>
  <c r="BS44" i="1"/>
  <c r="BR44" i="1"/>
  <c r="BQ44" i="1"/>
  <c r="BP44" i="1"/>
  <c r="BN44" i="1"/>
  <c r="BM44" i="1"/>
  <c r="BL44" i="1"/>
  <c r="BK44" i="1"/>
  <c r="BJ44" i="1"/>
  <c r="BH44" i="1"/>
  <c r="AJ44" i="1"/>
  <c r="BI44" i="1" s="1"/>
  <c r="U44" i="1"/>
  <c r="Q44" i="1"/>
  <c r="BO44" i="1" s="1"/>
  <c r="EA43" i="1"/>
  <c r="DY43" i="1"/>
  <c r="DX43" i="1"/>
  <c r="DV43" i="1"/>
  <c r="DU43" i="1"/>
  <c r="DT43" i="1"/>
  <c r="DS43" i="1"/>
  <c r="DR43" i="1"/>
  <c r="DQ43" i="1"/>
  <c r="DP43" i="1"/>
  <c r="DO43" i="1"/>
  <c r="DN43" i="1"/>
  <c r="DM43" i="1"/>
  <c r="DL43" i="1"/>
  <c r="DK43" i="1"/>
  <c r="DJ43" i="1"/>
  <c r="DI43" i="1"/>
  <c r="DH43" i="1"/>
  <c r="DF43" i="1"/>
  <c r="DC43" i="1"/>
  <c r="EB43" i="1" s="1"/>
  <c r="DA43" i="1"/>
  <c r="DA137" i="1" s="1"/>
  <c r="CX43" i="1"/>
  <c r="DW43" i="1" s="1"/>
  <c r="CH43" i="1"/>
  <c r="CC43" i="1"/>
  <c r="CA43" i="1"/>
  <c r="BZ43" i="1"/>
  <c r="BX43" i="1"/>
  <c r="BW43" i="1"/>
  <c r="BV43" i="1"/>
  <c r="BU43" i="1"/>
  <c r="BT43" i="1"/>
  <c r="BS43" i="1"/>
  <c r="BR43" i="1"/>
  <c r="BQ43" i="1"/>
  <c r="BP43" i="1"/>
  <c r="BO43" i="1"/>
  <c r="BN43" i="1"/>
  <c r="BM43" i="1"/>
  <c r="BL43" i="1"/>
  <c r="BK43" i="1"/>
  <c r="BJ43" i="1"/>
  <c r="BH43" i="1"/>
  <c r="BE43" i="1"/>
  <c r="BC43" i="1"/>
  <c r="AZ43" i="1"/>
  <c r="BY43" i="1" s="1"/>
  <c r="AJ43" i="1"/>
  <c r="AF43" i="1"/>
  <c r="AD43" i="1"/>
  <c r="EB42" i="1"/>
  <c r="EA42" i="1"/>
  <c r="DZ42" i="1"/>
  <c r="DY42" i="1"/>
  <c r="DX42" i="1"/>
  <c r="DV42" i="1"/>
  <c r="DU42" i="1"/>
  <c r="DT42" i="1"/>
  <c r="DS42" i="1"/>
  <c r="DR42" i="1"/>
  <c r="DQ42" i="1"/>
  <c r="DP42" i="1"/>
  <c r="DO42" i="1"/>
  <c r="DN42" i="1"/>
  <c r="DL42" i="1"/>
  <c r="DK42" i="1"/>
  <c r="DJ42" i="1"/>
  <c r="DI42" i="1"/>
  <c r="DH42" i="1"/>
  <c r="DG42" i="1"/>
  <c r="DF42" i="1"/>
  <c r="CX42" i="1"/>
  <c r="CN42" i="1"/>
  <c r="CD42" i="1"/>
  <c r="CC42" i="1"/>
  <c r="CB42" i="1"/>
  <c r="CA42" i="1"/>
  <c r="BZ42" i="1"/>
  <c r="BX42" i="1"/>
  <c r="BW42" i="1"/>
  <c r="BV42" i="1"/>
  <c r="BU42" i="1"/>
  <c r="BT42" i="1"/>
  <c r="BS42" i="1"/>
  <c r="BR42" i="1"/>
  <c r="BQ42" i="1"/>
  <c r="BP42" i="1"/>
  <c r="BN42" i="1"/>
  <c r="BM42" i="1"/>
  <c r="BL42" i="1"/>
  <c r="BK42" i="1"/>
  <c r="BJ42" i="1"/>
  <c r="BI42" i="1"/>
  <c r="BH42" i="1"/>
  <c r="AZ42" i="1"/>
  <c r="AP42" i="1"/>
  <c r="AA42" i="1"/>
  <c r="Q42" i="1"/>
  <c r="ED41" i="1"/>
  <c r="EB41" i="1"/>
  <c r="EA41" i="1"/>
  <c r="DZ41" i="1"/>
  <c r="DY41" i="1"/>
  <c r="DW41" i="1"/>
  <c r="DV41" i="1"/>
  <c r="DU41" i="1"/>
  <c r="DT41" i="1"/>
  <c r="DS41" i="1"/>
  <c r="DR41" i="1"/>
  <c r="DQ41" i="1"/>
  <c r="DP41" i="1"/>
  <c r="DO41" i="1"/>
  <c r="DN41" i="1"/>
  <c r="DL41" i="1"/>
  <c r="DK41" i="1"/>
  <c r="DJ41" i="1"/>
  <c r="DI41" i="1"/>
  <c r="DH41" i="1"/>
  <c r="DG41" i="1"/>
  <c r="DF41" i="1"/>
  <c r="CY41" i="1"/>
  <c r="DX41" i="1" s="1"/>
  <c r="CN41" i="1"/>
  <c r="DM41" i="1" s="1"/>
  <c r="CD41" i="1"/>
  <c r="CC41" i="1"/>
  <c r="CB41" i="1"/>
  <c r="CA41" i="1"/>
  <c r="BY41" i="1"/>
  <c r="BX41" i="1"/>
  <c r="BW41" i="1"/>
  <c r="BV41" i="1"/>
  <c r="BU41" i="1"/>
  <c r="BT41" i="1"/>
  <c r="BS41" i="1"/>
  <c r="BR41" i="1"/>
  <c r="BQ41" i="1"/>
  <c r="BP41" i="1"/>
  <c r="BN41" i="1"/>
  <c r="BM41" i="1"/>
  <c r="BL41" i="1"/>
  <c r="BK41" i="1"/>
  <c r="BJ41" i="1"/>
  <c r="BI41" i="1"/>
  <c r="BH41" i="1"/>
  <c r="BA41" i="1"/>
  <c r="AP41" i="1"/>
  <c r="BO41" i="1" s="1"/>
  <c r="I41" i="1"/>
  <c r="G41" i="1"/>
  <c r="EA40" i="1"/>
  <c r="DZ40" i="1"/>
  <c r="DY40" i="1"/>
  <c r="DX40" i="1"/>
  <c r="DW40" i="1"/>
  <c r="DV40" i="1"/>
  <c r="DU40" i="1"/>
  <c r="DT40" i="1"/>
  <c r="DS40" i="1"/>
  <c r="DR40" i="1"/>
  <c r="DQ40" i="1"/>
  <c r="DP40" i="1"/>
  <c r="DO40" i="1"/>
  <c r="DN40" i="1"/>
  <c r="DL40" i="1"/>
  <c r="DK40" i="1"/>
  <c r="DJ40" i="1"/>
  <c r="DI40" i="1"/>
  <c r="DH40" i="1"/>
  <c r="DG40" i="1"/>
  <c r="DF40" i="1"/>
  <c r="DC40" i="1"/>
  <c r="EB40" i="1" s="1"/>
  <c r="CN40" i="1"/>
  <c r="CC40" i="1"/>
  <c r="CB40" i="1"/>
  <c r="CA40" i="1"/>
  <c r="BZ40" i="1"/>
  <c r="BY40" i="1"/>
  <c r="BX40" i="1"/>
  <c r="BW40" i="1"/>
  <c r="BV40" i="1"/>
  <c r="BU40" i="1"/>
  <c r="BT40" i="1"/>
  <c r="BS40" i="1"/>
  <c r="BR40" i="1"/>
  <c r="BQ40" i="1"/>
  <c r="BP40" i="1"/>
  <c r="BN40" i="1"/>
  <c r="BM40" i="1"/>
  <c r="BL40" i="1"/>
  <c r="BK40" i="1"/>
  <c r="BJ40" i="1"/>
  <c r="BI40" i="1"/>
  <c r="BH40" i="1"/>
  <c r="BE40" i="1"/>
  <c r="AP40" i="1"/>
  <c r="AF40" i="1"/>
  <c r="Q40" i="1"/>
  <c r="EB39" i="1"/>
  <c r="EA39" i="1"/>
  <c r="DZ39" i="1"/>
  <c r="DY39" i="1"/>
  <c r="DX39" i="1"/>
  <c r="DW39" i="1"/>
  <c r="DV39" i="1"/>
  <c r="DU39" i="1"/>
  <c r="DT39" i="1"/>
  <c r="DS39" i="1"/>
  <c r="DR39" i="1"/>
  <c r="DQ39" i="1"/>
  <c r="DP39" i="1"/>
  <c r="DO39" i="1"/>
  <c r="DN39" i="1"/>
  <c r="DL39" i="1"/>
  <c r="DK39" i="1"/>
  <c r="DJ39" i="1"/>
  <c r="DI39" i="1"/>
  <c r="DH39" i="1"/>
  <c r="DF39" i="1"/>
  <c r="CN39" i="1"/>
  <c r="DM39" i="1" s="1"/>
  <c r="CH39" i="1"/>
  <c r="CD39" i="1"/>
  <c r="CC39" i="1"/>
  <c r="CB39" i="1"/>
  <c r="CA39" i="1"/>
  <c r="BZ39" i="1"/>
  <c r="BY39" i="1"/>
  <c r="BX39" i="1"/>
  <c r="BW39" i="1"/>
  <c r="BV39" i="1"/>
  <c r="BU39" i="1"/>
  <c r="BT39" i="1"/>
  <c r="BS39" i="1"/>
  <c r="BR39" i="1"/>
  <c r="BQ39" i="1"/>
  <c r="BP39" i="1"/>
  <c r="BN39" i="1"/>
  <c r="BM39" i="1"/>
  <c r="BL39" i="1"/>
  <c r="BK39" i="1"/>
  <c r="BJ39" i="1"/>
  <c r="BH39" i="1"/>
  <c r="AP39" i="1"/>
  <c r="AJ39" i="1"/>
  <c r="Q39" i="1"/>
  <c r="EA38" i="1"/>
  <c r="DZ38" i="1"/>
  <c r="DY38" i="1"/>
  <c r="DX38" i="1"/>
  <c r="DW38" i="1"/>
  <c r="DV38" i="1"/>
  <c r="DU38" i="1"/>
  <c r="DT38" i="1"/>
  <c r="DS38" i="1"/>
  <c r="DR38" i="1"/>
  <c r="DQ38" i="1"/>
  <c r="DP38" i="1"/>
  <c r="DN38" i="1"/>
  <c r="DL38" i="1"/>
  <c r="DK38" i="1"/>
  <c r="DJ38" i="1"/>
  <c r="DI38" i="1"/>
  <c r="DH38" i="1"/>
  <c r="DG38" i="1"/>
  <c r="DF38" i="1"/>
  <c r="DC38" i="1"/>
  <c r="CP38" i="1"/>
  <c r="CN38" i="1"/>
  <c r="DM38" i="1" s="1"/>
  <c r="CC38" i="1"/>
  <c r="CB38" i="1"/>
  <c r="CA38" i="1"/>
  <c r="BZ38" i="1"/>
  <c r="BY38" i="1"/>
  <c r="BX38" i="1"/>
  <c r="BW38" i="1"/>
  <c r="BV38" i="1"/>
  <c r="BU38" i="1"/>
  <c r="BT38" i="1"/>
  <c r="BS38" i="1"/>
  <c r="BR38" i="1"/>
  <c r="BP38" i="1"/>
  <c r="BN38" i="1"/>
  <c r="BM38" i="1"/>
  <c r="BL38" i="1"/>
  <c r="BK38" i="1"/>
  <c r="BJ38" i="1"/>
  <c r="BI38" i="1"/>
  <c r="BH38" i="1"/>
  <c r="BE38" i="1"/>
  <c r="AR38" i="1"/>
  <c r="AP38" i="1"/>
  <c r="BO38" i="1" s="1"/>
  <c r="AF38" i="1"/>
  <c r="S38" i="1"/>
  <c r="Q38" i="1"/>
  <c r="H38" i="1"/>
  <c r="G38" i="1"/>
  <c r="I38" i="1" s="1"/>
  <c r="EA37" i="1"/>
  <c r="DZ37" i="1"/>
  <c r="DY37" i="1"/>
  <c r="DX37" i="1"/>
  <c r="DW37" i="1"/>
  <c r="DV37" i="1"/>
  <c r="DU37" i="1"/>
  <c r="DT37" i="1"/>
  <c r="DS37" i="1"/>
  <c r="DR37" i="1"/>
  <c r="DQ37" i="1"/>
  <c r="DP37" i="1"/>
  <c r="DO37" i="1"/>
  <c r="DN37" i="1"/>
  <c r="DL37" i="1"/>
  <c r="DK37" i="1"/>
  <c r="DJ37" i="1"/>
  <c r="DI37" i="1"/>
  <c r="DH37" i="1"/>
  <c r="DG37" i="1"/>
  <c r="DF37" i="1"/>
  <c r="DC37" i="1"/>
  <c r="CN37" i="1"/>
  <c r="CC37" i="1"/>
  <c r="CB37" i="1"/>
  <c r="CA37" i="1"/>
  <c r="BZ37" i="1"/>
  <c r="BY37" i="1"/>
  <c r="BX37" i="1"/>
  <c r="BW37" i="1"/>
  <c r="BV37" i="1"/>
  <c r="BU37" i="1"/>
  <c r="BT37" i="1"/>
  <c r="BS37" i="1"/>
  <c r="BR37" i="1"/>
  <c r="BQ37" i="1"/>
  <c r="BP37" i="1"/>
  <c r="BN37" i="1"/>
  <c r="BM37" i="1"/>
  <c r="BL37" i="1"/>
  <c r="BK37" i="1"/>
  <c r="BJ37" i="1"/>
  <c r="BI37" i="1"/>
  <c r="BH37" i="1"/>
  <c r="BE37" i="1"/>
  <c r="AP37" i="1"/>
  <c r="AH37" i="1" s="1"/>
  <c r="AF37" i="1"/>
  <c r="Q37" i="1"/>
  <c r="H37" i="1"/>
  <c r="EA36" i="1"/>
  <c r="DZ36" i="1"/>
  <c r="DY36" i="1"/>
  <c r="DX36" i="1"/>
  <c r="DV36" i="1"/>
  <c r="DU36" i="1"/>
  <c r="DT36" i="1"/>
  <c r="DS36" i="1"/>
  <c r="DR36" i="1"/>
  <c r="DQ36" i="1"/>
  <c r="DP36" i="1"/>
  <c r="DO36" i="1"/>
  <c r="DN36" i="1"/>
  <c r="DL36" i="1"/>
  <c r="DK36" i="1"/>
  <c r="DJ36" i="1"/>
  <c r="DI36" i="1"/>
  <c r="DH36" i="1"/>
  <c r="DG36" i="1"/>
  <c r="DF36" i="1"/>
  <c r="DC36" i="1"/>
  <c r="EB36" i="1" s="1"/>
  <c r="CX36" i="1"/>
  <c r="CN36" i="1"/>
  <c r="CC36" i="1"/>
  <c r="CB36" i="1"/>
  <c r="CA36" i="1"/>
  <c r="BZ36" i="1"/>
  <c r="BX36" i="1"/>
  <c r="BW36" i="1"/>
  <c r="BV36" i="1"/>
  <c r="BU36" i="1"/>
  <c r="BT36" i="1"/>
  <c r="BS36" i="1"/>
  <c r="BR36" i="1"/>
  <c r="BQ36" i="1"/>
  <c r="BP36" i="1"/>
  <c r="BN36" i="1"/>
  <c r="BM36" i="1"/>
  <c r="BL36" i="1"/>
  <c r="BK36" i="1"/>
  <c r="BJ36" i="1"/>
  <c r="BI36" i="1"/>
  <c r="BH36" i="1"/>
  <c r="BE36" i="1"/>
  <c r="AZ36" i="1"/>
  <c r="AP36" i="1"/>
  <c r="AF36" i="1"/>
  <c r="AA36" i="1"/>
  <c r="Q36" i="1"/>
  <c r="G36" i="1"/>
  <c r="EA35" i="1"/>
  <c r="DZ35" i="1"/>
  <c r="DY35" i="1"/>
  <c r="DX35" i="1"/>
  <c r="DW35" i="1"/>
  <c r="DV35" i="1"/>
  <c r="DU35" i="1"/>
  <c r="DT35" i="1"/>
  <c r="DS35" i="1"/>
  <c r="DR35" i="1"/>
  <c r="DQ35" i="1"/>
  <c r="DP35" i="1"/>
  <c r="DO35" i="1"/>
  <c r="DN35" i="1"/>
  <c r="DL35" i="1"/>
  <c r="DK35" i="1"/>
  <c r="DJ35" i="1"/>
  <c r="DI35" i="1"/>
  <c r="DH35" i="1"/>
  <c r="DF35" i="1"/>
  <c r="DC35" i="1"/>
  <c r="CN35" i="1"/>
  <c r="CH35" i="1"/>
  <c r="DG35" i="1" s="1"/>
  <c r="CC35" i="1"/>
  <c r="CB35" i="1"/>
  <c r="CA35" i="1"/>
  <c r="BZ35" i="1"/>
  <c r="BY35" i="1"/>
  <c r="BX35" i="1"/>
  <c r="BW35" i="1"/>
  <c r="BV35" i="1"/>
  <c r="BU35" i="1"/>
  <c r="BT35" i="1"/>
  <c r="BS35" i="1"/>
  <c r="BR35" i="1"/>
  <c r="BQ35" i="1"/>
  <c r="BP35" i="1"/>
  <c r="BN35" i="1"/>
  <c r="BM35" i="1"/>
  <c r="BL35" i="1"/>
  <c r="BK35" i="1"/>
  <c r="BJ35" i="1"/>
  <c r="BH35" i="1"/>
  <c r="BE35" i="1"/>
  <c r="AP35" i="1"/>
  <c r="AJ35" i="1"/>
  <c r="BI35" i="1" s="1"/>
  <c r="AF35" i="1"/>
  <c r="EB35" i="1" s="1"/>
  <c r="Q35" i="1"/>
  <c r="EA34" i="1"/>
  <c r="DZ34" i="1"/>
  <c r="DY34" i="1"/>
  <c r="DW34" i="1"/>
  <c r="DV34" i="1"/>
  <c r="DU34" i="1"/>
  <c r="DT34" i="1"/>
  <c r="DS34" i="1"/>
  <c r="DR34" i="1"/>
  <c r="DQ34" i="1"/>
  <c r="DP34" i="1"/>
  <c r="DO34" i="1"/>
  <c r="DN34" i="1"/>
  <c r="DL34" i="1"/>
  <c r="DK34" i="1"/>
  <c r="DJ34" i="1"/>
  <c r="DI34" i="1"/>
  <c r="DH34" i="1"/>
  <c r="DG34" i="1"/>
  <c r="DF34" i="1"/>
  <c r="DC34" i="1"/>
  <c r="CY34" i="1"/>
  <c r="DX34" i="1" s="1"/>
  <c r="CN34" i="1"/>
  <c r="DM34" i="1" s="1"/>
  <c r="CC34" i="1"/>
  <c r="CB34" i="1"/>
  <c r="CA34" i="1"/>
  <c r="BY34" i="1"/>
  <c r="BX34" i="1"/>
  <c r="BW34" i="1"/>
  <c r="BV34" i="1"/>
  <c r="BU34" i="1"/>
  <c r="BT34" i="1"/>
  <c r="BS34" i="1"/>
  <c r="BR34" i="1"/>
  <c r="BQ34" i="1"/>
  <c r="BP34" i="1"/>
  <c r="BN34" i="1"/>
  <c r="BM34" i="1"/>
  <c r="BL34" i="1"/>
  <c r="BK34" i="1"/>
  <c r="BJ34" i="1"/>
  <c r="BI34" i="1"/>
  <c r="BH34" i="1"/>
  <c r="BE34" i="1"/>
  <c r="BA34" i="1"/>
  <c r="BZ34" i="1" s="1"/>
  <c r="AP34" i="1"/>
  <c r="AF34" i="1"/>
  <c r="Q34" i="1"/>
  <c r="EA33" i="1"/>
  <c r="DZ33" i="1"/>
  <c r="DY33" i="1"/>
  <c r="DX33" i="1"/>
  <c r="DW33" i="1"/>
  <c r="DV33" i="1"/>
  <c r="DU33" i="1"/>
  <c r="DT33" i="1"/>
  <c r="DS33" i="1"/>
  <c r="DR33" i="1"/>
  <c r="DQ33" i="1"/>
  <c r="DP33" i="1"/>
  <c r="DO33" i="1"/>
  <c r="DN33" i="1"/>
  <c r="DL33" i="1"/>
  <c r="DK33" i="1"/>
  <c r="DJ33" i="1"/>
  <c r="DI33" i="1"/>
  <c r="DH33" i="1"/>
  <c r="DG33" i="1"/>
  <c r="DF33" i="1"/>
  <c r="DC33" i="1"/>
  <c r="CN33" i="1"/>
  <c r="CC33" i="1"/>
  <c r="CB33" i="1"/>
  <c r="CA33" i="1"/>
  <c r="BZ33" i="1"/>
  <c r="BY33" i="1"/>
  <c r="BX33" i="1"/>
  <c r="BW33" i="1"/>
  <c r="BV33" i="1"/>
  <c r="BU33" i="1"/>
  <c r="BT33" i="1"/>
  <c r="BS33" i="1"/>
  <c r="BR33" i="1"/>
  <c r="BQ33" i="1"/>
  <c r="BP33" i="1"/>
  <c r="BN33" i="1"/>
  <c r="BM33" i="1"/>
  <c r="BL33" i="1"/>
  <c r="BK33" i="1"/>
  <c r="BJ33" i="1"/>
  <c r="BI33" i="1"/>
  <c r="BH33" i="1"/>
  <c r="BE33" i="1"/>
  <c r="AP33" i="1"/>
  <c r="BO33" i="1" s="1"/>
  <c r="AF33" i="1"/>
  <c r="Q33" i="1"/>
  <c r="EB32" i="1"/>
  <c r="EA32" i="1"/>
  <c r="DZ32" i="1"/>
  <c r="DY32" i="1"/>
  <c r="DX32" i="1"/>
  <c r="DW32" i="1"/>
  <c r="DV32" i="1"/>
  <c r="DU32" i="1"/>
  <c r="DT32" i="1"/>
  <c r="DS32" i="1"/>
  <c r="DR32" i="1"/>
  <c r="DQ32" i="1"/>
  <c r="DP32" i="1"/>
  <c r="DO32" i="1"/>
  <c r="DN32" i="1"/>
  <c r="DL32" i="1"/>
  <c r="DK32" i="1"/>
  <c r="DJ32" i="1"/>
  <c r="DI32" i="1"/>
  <c r="DH32" i="1"/>
  <c r="DG32" i="1"/>
  <c r="DF32" i="1"/>
  <c r="CN32" i="1"/>
  <c r="CF32" i="1" s="1"/>
  <c r="CD32" i="1"/>
  <c r="CC32" i="1"/>
  <c r="CB32" i="1"/>
  <c r="CA32" i="1"/>
  <c r="BZ32" i="1"/>
  <c r="BY32" i="1"/>
  <c r="BX32" i="1"/>
  <c r="BW32" i="1"/>
  <c r="BV32" i="1"/>
  <c r="BU32" i="1"/>
  <c r="BT32" i="1"/>
  <c r="BS32" i="1"/>
  <c r="BR32" i="1"/>
  <c r="BQ32" i="1"/>
  <c r="BP32" i="1"/>
  <c r="BN32" i="1"/>
  <c r="BM32" i="1"/>
  <c r="BL32" i="1"/>
  <c r="BK32" i="1"/>
  <c r="BJ32" i="1"/>
  <c r="BI32" i="1"/>
  <c r="BH32" i="1"/>
  <c r="AP32" i="1"/>
  <c r="AH32" i="1" s="1"/>
  <c r="Q32" i="1"/>
  <c r="EB31" i="1"/>
  <c r="EA31" i="1"/>
  <c r="DZ31" i="1"/>
  <c r="DY31" i="1"/>
  <c r="DX31" i="1"/>
  <c r="DW31" i="1"/>
  <c r="DV31" i="1"/>
  <c r="DU31" i="1"/>
  <c r="DT31" i="1"/>
  <c r="DS31" i="1"/>
  <c r="DR31" i="1"/>
  <c r="DQ31" i="1"/>
  <c r="DP31" i="1"/>
  <c r="DO31" i="1"/>
  <c r="DN31" i="1"/>
  <c r="DL31" i="1"/>
  <c r="DK31" i="1"/>
  <c r="DJ31" i="1"/>
  <c r="DI31" i="1"/>
  <c r="DH31" i="1"/>
  <c r="DG31" i="1"/>
  <c r="DF31" i="1"/>
  <c r="CN31" i="1"/>
  <c r="DM31" i="1" s="1"/>
  <c r="CD31" i="1"/>
  <c r="CC31" i="1"/>
  <c r="CB31" i="1"/>
  <c r="CA31" i="1"/>
  <c r="BZ31" i="1"/>
  <c r="BY31" i="1"/>
  <c r="BX31" i="1"/>
  <c r="BW31" i="1"/>
  <c r="BV31" i="1"/>
  <c r="BU31" i="1"/>
  <c r="BT31" i="1"/>
  <c r="BS31" i="1"/>
  <c r="BR31" i="1"/>
  <c r="BQ31" i="1"/>
  <c r="BP31" i="1"/>
  <c r="BN31" i="1"/>
  <c r="BM31" i="1"/>
  <c r="BL31" i="1"/>
  <c r="BK31" i="1"/>
  <c r="BJ31" i="1"/>
  <c r="BI31" i="1"/>
  <c r="BH31" i="1"/>
  <c r="AP31" i="1"/>
  <c r="BO31" i="1" s="1"/>
  <c r="G31" i="1"/>
  <c r="EB30" i="1"/>
  <c r="EA30" i="1"/>
  <c r="DZ30" i="1"/>
  <c r="DY30" i="1"/>
  <c r="DX30" i="1"/>
  <c r="DW30" i="1"/>
  <c r="DV30" i="1"/>
  <c r="DU30" i="1"/>
  <c r="DT30" i="1"/>
  <c r="DS30" i="1"/>
  <c r="DR30" i="1"/>
  <c r="DQ30" i="1"/>
  <c r="DP30" i="1"/>
  <c r="DO30" i="1"/>
  <c r="DN30" i="1"/>
  <c r="DL30" i="1"/>
  <c r="DK30" i="1"/>
  <c r="DJ30" i="1"/>
  <c r="DI30" i="1"/>
  <c r="DH30" i="1"/>
  <c r="DG30" i="1"/>
  <c r="DF30" i="1"/>
  <c r="CN30" i="1"/>
  <c r="CF30" i="1" s="1"/>
  <c r="CD30" i="1"/>
  <c r="CC30" i="1"/>
  <c r="CB30" i="1"/>
  <c r="CA30" i="1"/>
  <c r="BZ30" i="1"/>
  <c r="BY30" i="1"/>
  <c r="BX30" i="1"/>
  <c r="BW30" i="1"/>
  <c r="BV30" i="1"/>
  <c r="BU30" i="1"/>
  <c r="BT30" i="1"/>
  <c r="BS30" i="1"/>
  <c r="BR30" i="1"/>
  <c r="BQ30" i="1"/>
  <c r="BP30" i="1"/>
  <c r="BN30" i="1"/>
  <c r="BM30" i="1"/>
  <c r="BL30" i="1"/>
  <c r="BK30" i="1"/>
  <c r="BJ30" i="1"/>
  <c r="BI30" i="1"/>
  <c r="BH30" i="1"/>
  <c r="AP30" i="1"/>
  <c r="AH30" i="1" s="1"/>
  <c r="Q30" i="1"/>
  <c r="G30" i="1"/>
  <c r="EB29" i="1"/>
  <c r="EA29" i="1"/>
  <c r="DZ29" i="1"/>
  <c r="DY29" i="1"/>
  <c r="DW29" i="1"/>
  <c r="DV29" i="1"/>
  <c r="DU29" i="1"/>
  <c r="DT29" i="1"/>
  <c r="DS29" i="1"/>
  <c r="DR29" i="1"/>
  <c r="DQ29" i="1"/>
  <c r="DO29" i="1"/>
  <c r="DL29" i="1"/>
  <c r="DK29" i="1"/>
  <c r="DJ29" i="1"/>
  <c r="DI29" i="1"/>
  <c r="DH29" i="1"/>
  <c r="DG29" i="1"/>
  <c r="DF29" i="1"/>
  <c r="CY29" i="1"/>
  <c r="DX29" i="1" s="1"/>
  <c r="CQ29" i="1"/>
  <c r="DP29" i="1" s="1"/>
  <c r="CO29" i="1"/>
  <c r="CN29" i="1"/>
  <c r="CD29" i="1"/>
  <c r="CC29" i="1"/>
  <c r="CB29" i="1"/>
  <c r="CA29" i="1"/>
  <c r="BY29" i="1"/>
  <c r="BX29" i="1"/>
  <c r="BW29" i="1"/>
  <c r="BV29" i="1"/>
  <c r="BU29" i="1"/>
  <c r="BT29" i="1"/>
  <c r="BS29" i="1"/>
  <c r="BQ29" i="1"/>
  <c r="BN29" i="1"/>
  <c r="BM29" i="1"/>
  <c r="BL29" i="1"/>
  <c r="BK29" i="1"/>
  <c r="BJ29" i="1"/>
  <c r="BI29" i="1"/>
  <c r="BH29" i="1"/>
  <c r="BA29" i="1"/>
  <c r="BZ29" i="1" s="1"/>
  <c r="AS29" i="1"/>
  <c r="BR29" i="1" s="1"/>
  <c r="AQ29" i="1"/>
  <c r="AP29" i="1"/>
  <c r="R29" i="1"/>
  <c r="Q29" i="1"/>
  <c r="G29" i="1" s="1"/>
  <c r="I29" i="1" s="1"/>
  <c r="EB28" i="1"/>
  <c r="EA28" i="1"/>
  <c r="DZ28" i="1"/>
  <c r="DY28" i="1"/>
  <c r="DX28" i="1"/>
  <c r="DW28" i="1"/>
  <c r="DV28" i="1"/>
  <c r="DU28" i="1"/>
  <c r="DT28" i="1"/>
  <c r="DS28" i="1"/>
  <c r="DR28" i="1"/>
  <c r="DQ28" i="1"/>
  <c r="DP28" i="1"/>
  <c r="DO28" i="1"/>
  <c r="DN28" i="1"/>
  <c r="DL28" i="1"/>
  <c r="DK28" i="1"/>
  <c r="DJ28" i="1"/>
  <c r="DI28" i="1"/>
  <c r="DH28" i="1"/>
  <c r="DG28" i="1"/>
  <c r="DF28" i="1"/>
  <c r="CN28" i="1"/>
  <c r="CF28" i="1" s="1"/>
  <c r="CD28" i="1"/>
  <c r="CC28" i="1"/>
  <c r="CB28" i="1"/>
  <c r="CA28" i="1"/>
  <c r="BZ28" i="1"/>
  <c r="BY28" i="1"/>
  <c r="BX28" i="1"/>
  <c r="BW28" i="1"/>
  <c r="BV28" i="1"/>
  <c r="BU28" i="1"/>
  <c r="BT28" i="1"/>
  <c r="BS28" i="1"/>
  <c r="BR28" i="1"/>
  <c r="BQ28" i="1"/>
  <c r="BP28" i="1"/>
  <c r="BN28" i="1"/>
  <c r="BM28" i="1"/>
  <c r="BL28" i="1"/>
  <c r="BK28" i="1"/>
  <c r="BJ28" i="1"/>
  <c r="BI28" i="1"/>
  <c r="BH28" i="1"/>
  <c r="AP28" i="1"/>
  <c r="AH28" i="1" s="1"/>
  <c r="Q28" i="1"/>
  <c r="G28" i="1" s="1"/>
  <c r="EA27" i="1"/>
  <c r="DZ27" i="1"/>
  <c r="DY27" i="1"/>
  <c r="DX27" i="1"/>
  <c r="DW27" i="1"/>
  <c r="DV27" i="1"/>
  <c r="DU27" i="1"/>
  <c r="DS27" i="1"/>
  <c r="DR27" i="1"/>
  <c r="DQ27" i="1"/>
  <c r="DL27" i="1"/>
  <c r="DK27" i="1"/>
  <c r="DJ27" i="1"/>
  <c r="DI27" i="1"/>
  <c r="DH27" i="1"/>
  <c r="DG27" i="1"/>
  <c r="DF27" i="1"/>
  <c r="DC27" i="1"/>
  <c r="CU27" i="1"/>
  <c r="CQ27" i="1"/>
  <c r="DP27" i="1" s="1"/>
  <c r="CP27" i="1"/>
  <c r="CO27" i="1"/>
  <c r="CN27" i="1"/>
  <c r="CC27" i="1"/>
  <c r="CB27" i="1"/>
  <c r="CA27" i="1"/>
  <c r="BZ27" i="1"/>
  <c r="BY27" i="1"/>
  <c r="BX27" i="1"/>
  <c r="BW27" i="1"/>
  <c r="BU27" i="1"/>
  <c r="BT27" i="1"/>
  <c r="BS27" i="1"/>
  <c r="BN27" i="1"/>
  <c r="BM27" i="1"/>
  <c r="BL27" i="1"/>
  <c r="BK27" i="1"/>
  <c r="BJ27" i="1"/>
  <c r="BI27" i="1"/>
  <c r="BH27" i="1"/>
  <c r="BE27" i="1"/>
  <c r="AW27" i="1"/>
  <c r="BV27" i="1" s="1"/>
  <c r="AS27" i="1"/>
  <c r="BR27" i="1" s="1"/>
  <c r="AR27" i="1"/>
  <c r="AQ27" i="1"/>
  <c r="AP27" i="1"/>
  <c r="AF27" i="1"/>
  <c r="X27" i="1"/>
  <c r="S27" i="1"/>
  <c r="R27" i="1"/>
  <c r="Q27" i="1"/>
  <c r="BO27" i="1" s="1"/>
  <c r="EB26" i="1"/>
  <c r="EA26" i="1"/>
  <c r="DZ26" i="1"/>
  <c r="DY26" i="1"/>
  <c r="DX26" i="1"/>
  <c r="DW26" i="1"/>
  <c r="DV26" i="1"/>
  <c r="DU26" i="1"/>
  <c r="DT26" i="1"/>
  <c r="DS26" i="1"/>
  <c r="DR26" i="1"/>
  <c r="DQ26" i="1"/>
  <c r="DP26" i="1"/>
  <c r="DO26" i="1"/>
  <c r="DN26" i="1"/>
  <c r="DL26" i="1"/>
  <c r="DK26" i="1"/>
  <c r="DJ26" i="1"/>
  <c r="DI26" i="1"/>
  <c r="DH26" i="1"/>
  <c r="DF26" i="1"/>
  <c r="CN26" i="1"/>
  <c r="DM26" i="1" s="1"/>
  <c r="CH26" i="1"/>
  <c r="DG26" i="1" s="1"/>
  <c r="CD26" i="1"/>
  <c r="CC26" i="1"/>
  <c r="CB26" i="1"/>
  <c r="CA26" i="1"/>
  <c r="BZ26" i="1"/>
  <c r="BY26" i="1"/>
  <c r="BX26" i="1"/>
  <c r="BW26" i="1"/>
  <c r="BV26" i="1"/>
  <c r="BU26" i="1"/>
  <c r="BT26" i="1"/>
  <c r="BS26" i="1"/>
  <c r="BR26" i="1"/>
  <c r="BQ26" i="1"/>
  <c r="BP26" i="1"/>
  <c r="BN26" i="1"/>
  <c r="BM26" i="1"/>
  <c r="BL26" i="1"/>
  <c r="BK26" i="1"/>
  <c r="BJ26" i="1"/>
  <c r="BH26" i="1"/>
  <c r="AJ26" i="1"/>
  <c r="AH26" i="1" s="1"/>
  <c r="AG26" i="1" s="1"/>
  <c r="BF26" i="1" s="1"/>
  <c r="Q26" i="1"/>
  <c r="BO26" i="1" s="1"/>
  <c r="G26" i="1"/>
  <c r="I26" i="1" s="1"/>
  <c r="EB25" i="1"/>
  <c r="EA25" i="1"/>
  <c r="DZ25" i="1"/>
  <c r="DY25" i="1"/>
  <c r="DX25" i="1"/>
  <c r="DW25" i="1"/>
  <c r="DV25" i="1"/>
  <c r="DU25" i="1"/>
  <c r="DS25" i="1"/>
  <c r="DR25" i="1"/>
  <c r="DQ25" i="1"/>
  <c r="DL25" i="1"/>
  <c r="DK25" i="1"/>
  <c r="DJ25" i="1"/>
  <c r="DI25" i="1"/>
  <c r="DH25" i="1"/>
  <c r="DG25" i="1"/>
  <c r="DF25" i="1"/>
  <c r="CU25" i="1"/>
  <c r="CQ25" i="1"/>
  <c r="DP25" i="1" s="1"/>
  <c r="CP25" i="1"/>
  <c r="CO25" i="1"/>
  <c r="DN25" i="1" s="1"/>
  <c r="CN25" i="1"/>
  <c r="CD25" i="1"/>
  <c r="CC25" i="1"/>
  <c r="CB25" i="1"/>
  <c r="CA25" i="1"/>
  <c r="BZ25" i="1"/>
  <c r="BY25" i="1"/>
  <c r="BX25" i="1"/>
  <c r="BW25" i="1"/>
  <c r="BU25" i="1"/>
  <c r="BT25" i="1"/>
  <c r="BS25" i="1"/>
  <c r="BN25" i="1"/>
  <c r="BM25" i="1"/>
  <c r="BL25" i="1"/>
  <c r="BK25" i="1"/>
  <c r="BJ25" i="1"/>
  <c r="BI25" i="1"/>
  <c r="BH25" i="1"/>
  <c r="AW25" i="1"/>
  <c r="AS25" i="1"/>
  <c r="BR25" i="1" s="1"/>
  <c r="AR25" i="1"/>
  <c r="AQ25" i="1"/>
  <c r="BP25" i="1" s="1"/>
  <c r="AP25" i="1"/>
  <c r="X25" i="1"/>
  <c r="S25" i="1"/>
  <c r="R25" i="1"/>
  <c r="Q25" i="1"/>
  <c r="DM25" i="1" s="1"/>
  <c r="DB24" i="1"/>
  <c r="DA24" i="1"/>
  <c r="CZ24" i="1"/>
  <c r="CX24" i="1"/>
  <c r="CV24" i="1"/>
  <c r="CU24" i="1"/>
  <c r="CT24" i="1"/>
  <c r="CS24" i="1"/>
  <c r="CQ24" i="1"/>
  <c r="CP24" i="1"/>
  <c r="CO24" i="1"/>
  <c r="CN24" i="1"/>
  <c r="CM24" i="1"/>
  <c r="CL24" i="1"/>
  <c r="CK24" i="1"/>
  <c r="CI24" i="1"/>
  <c r="CG24" i="1"/>
  <c r="BD24" i="1"/>
  <c r="BC24" i="1"/>
  <c r="BB24" i="1"/>
  <c r="AZ24" i="1"/>
  <c r="AX24" i="1"/>
  <c r="AW24" i="1"/>
  <c r="AV24" i="1"/>
  <c r="AU24" i="1"/>
  <c r="AU131" i="1" s="1"/>
  <c r="AS24" i="1"/>
  <c r="AR24" i="1"/>
  <c r="AQ24" i="1"/>
  <c r="AP24" i="1"/>
  <c r="AO24" i="1"/>
  <c r="AN24" i="1"/>
  <c r="AM24" i="1"/>
  <c r="AM131" i="1" s="1"/>
  <c r="AK24" i="1"/>
  <c r="AI24" i="1"/>
  <c r="AD24" i="1"/>
  <c r="AC24" i="1"/>
  <c r="Z24" i="1"/>
  <c r="Z131" i="1" s="1"/>
  <c r="Z141" i="1" s="1"/>
  <c r="Y24" i="1"/>
  <c r="X24" i="1"/>
  <c r="W24" i="1"/>
  <c r="V24" i="1"/>
  <c r="T24" i="1"/>
  <c r="T131" i="1" s="1"/>
  <c r="S24" i="1"/>
  <c r="R24" i="1"/>
  <c r="Q24" i="1"/>
  <c r="P24" i="1"/>
  <c r="P131" i="1" s="1"/>
  <c r="O24" i="1"/>
  <c r="O131" i="1" s="1"/>
  <c r="N24" i="1"/>
  <c r="L24" i="1"/>
  <c r="J24" i="1"/>
  <c r="H24" i="1"/>
  <c r="EB23" i="1"/>
  <c r="EA23" i="1"/>
  <c r="DZ23" i="1"/>
  <c r="DY23" i="1"/>
  <c r="DX23" i="1"/>
  <c r="DW23" i="1"/>
  <c r="DU23" i="1"/>
  <c r="DT23" i="1"/>
  <c r="DS23" i="1"/>
  <c r="DR23" i="1"/>
  <c r="DP23" i="1"/>
  <c r="DO23" i="1"/>
  <c r="DN23" i="1"/>
  <c r="DM23" i="1"/>
  <c r="DL23" i="1"/>
  <c r="DK23" i="1"/>
  <c r="DJ23" i="1"/>
  <c r="DI23" i="1"/>
  <c r="DH23" i="1"/>
  <c r="DF23" i="1"/>
  <c r="CW23" i="1"/>
  <c r="DV23" i="1" s="1"/>
  <c r="CR23" i="1"/>
  <c r="CH23" i="1"/>
  <c r="DG23" i="1" s="1"/>
  <c r="CD23" i="1"/>
  <c r="CC23" i="1"/>
  <c r="CB23" i="1"/>
  <c r="CA23" i="1"/>
  <c r="BZ23" i="1"/>
  <c r="BY23" i="1"/>
  <c r="BW23" i="1"/>
  <c r="BV23" i="1"/>
  <c r="BU23" i="1"/>
  <c r="BT23" i="1"/>
  <c r="BR23" i="1"/>
  <c r="BQ23" i="1"/>
  <c r="BP23" i="1"/>
  <c r="BO23" i="1"/>
  <c r="BN23" i="1"/>
  <c r="BM23" i="1"/>
  <c r="BL23" i="1"/>
  <c r="BK23" i="1"/>
  <c r="BJ23" i="1"/>
  <c r="BH23" i="1"/>
  <c r="AY23" i="1"/>
  <c r="BX23" i="1" s="1"/>
  <c r="AT23" i="1"/>
  <c r="AT138" i="1" s="1"/>
  <c r="AJ23" i="1"/>
  <c r="BI23" i="1" s="1"/>
  <c r="G23" i="1"/>
  <c r="EA22" i="1"/>
  <c r="DZ22" i="1"/>
  <c r="DY22" i="1"/>
  <c r="DX22" i="1"/>
  <c r="DW22" i="1"/>
  <c r="DV22" i="1"/>
  <c r="DU22" i="1"/>
  <c r="DT22" i="1"/>
  <c r="DS22" i="1"/>
  <c r="DR22" i="1"/>
  <c r="DQ22" i="1"/>
  <c r="DP22" i="1"/>
  <c r="DO22" i="1"/>
  <c r="DN22" i="1"/>
  <c r="DM22" i="1"/>
  <c r="DL22" i="1"/>
  <c r="DK22" i="1"/>
  <c r="DJ22" i="1"/>
  <c r="DI22" i="1"/>
  <c r="DH22" i="1"/>
  <c r="DF22" i="1"/>
  <c r="DC22" i="1"/>
  <c r="EB22" i="1" s="1"/>
  <c r="CH22" i="1"/>
  <c r="CC22" i="1"/>
  <c r="CB22" i="1"/>
  <c r="CA22" i="1"/>
  <c r="BZ22" i="1"/>
  <c r="BY22" i="1"/>
  <c r="BX22" i="1"/>
  <c r="BW22" i="1"/>
  <c r="BV22" i="1"/>
  <c r="BU22" i="1"/>
  <c r="BT22" i="1"/>
  <c r="BS22" i="1"/>
  <c r="BR22" i="1"/>
  <c r="BQ22" i="1"/>
  <c r="BP22" i="1"/>
  <c r="BO22" i="1"/>
  <c r="BN22" i="1"/>
  <c r="BM22" i="1"/>
  <c r="BL22" i="1"/>
  <c r="BK22" i="1"/>
  <c r="BJ22" i="1"/>
  <c r="BH22" i="1"/>
  <c r="BE22" i="1"/>
  <c r="CD22" i="1" s="1"/>
  <c r="AJ22" i="1"/>
  <c r="AF22" i="1"/>
  <c r="K22" i="1"/>
  <c r="G22" i="1"/>
  <c r="EB21" i="1"/>
  <c r="EA21" i="1"/>
  <c r="DZ21" i="1"/>
  <c r="DY21" i="1"/>
  <c r="DX21" i="1"/>
  <c r="DW21" i="1"/>
  <c r="DU21" i="1"/>
  <c r="DT21" i="1"/>
  <c r="DS21" i="1"/>
  <c r="DR21" i="1"/>
  <c r="DQ21" i="1"/>
  <c r="DP21" i="1"/>
  <c r="DO21" i="1"/>
  <c r="DN21" i="1"/>
  <c r="DM21" i="1"/>
  <c r="DL21" i="1"/>
  <c r="DK21" i="1"/>
  <c r="DJ21" i="1"/>
  <c r="DI21" i="1"/>
  <c r="DH21" i="1"/>
  <c r="DG21" i="1"/>
  <c r="DF21" i="1"/>
  <c r="CW21" i="1"/>
  <c r="CF21" i="1" s="1"/>
  <c r="CE21" i="1" s="1"/>
  <c r="DD21" i="1" s="1"/>
  <c r="CD21" i="1"/>
  <c r="CC21" i="1"/>
  <c r="CB21" i="1"/>
  <c r="CA21" i="1"/>
  <c r="BZ21" i="1"/>
  <c r="BY21" i="1"/>
  <c r="BW21" i="1"/>
  <c r="BV21" i="1"/>
  <c r="BU21" i="1"/>
  <c r="BT21" i="1"/>
  <c r="BS21" i="1"/>
  <c r="BR21" i="1"/>
  <c r="BQ21" i="1"/>
  <c r="BP21" i="1"/>
  <c r="BO21" i="1"/>
  <c r="BN21" i="1"/>
  <c r="BM21" i="1"/>
  <c r="BL21" i="1"/>
  <c r="BK21" i="1"/>
  <c r="BJ21" i="1"/>
  <c r="BI21" i="1"/>
  <c r="BH21" i="1"/>
  <c r="AY21" i="1"/>
  <c r="AH21" i="1" s="1"/>
  <c r="I21" i="1"/>
  <c r="G21" i="1"/>
  <c r="ED21" i="1" s="1"/>
  <c r="EB20" i="1"/>
  <c r="EA20" i="1"/>
  <c r="DZ20" i="1"/>
  <c r="DY20" i="1"/>
  <c r="DX20" i="1"/>
  <c r="DW20" i="1"/>
  <c r="DV20" i="1"/>
  <c r="DU20" i="1"/>
  <c r="DT20" i="1"/>
  <c r="DS20" i="1"/>
  <c r="DR20" i="1"/>
  <c r="DQ20" i="1"/>
  <c r="DP20" i="1"/>
  <c r="DO20" i="1"/>
  <c r="DN20" i="1"/>
  <c r="DM20" i="1"/>
  <c r="DL20" i="1"/>
  <c r="DK20" i="1"/>
  <c r="DJ20" i="1"/>
  <c r="DI20" i="1"/>
  <c r="DH20" i="1"/>
  <c r="DG20" i="1"/>
  <c r="DF20" i="1"/>
  <c r="DE20" i="1" s="1"/>
  <c r="EF20" i="1" s="1"/>
  <c r="CF20" i="1"/>
  <c r="CD20" i="1"/>
  <c r="CC20" i="1"/>
  <c r="CB20" i="1"/>
  <c r="CA20" i="1"/>
  <c r="BZ20" i="1"/>
  <c r="BY20" i="1"/>
  <c r="BX20" i="1"/>
  <c r="BW20" i="1"/>
  <c r="BV20" i="1"/>
  <c r="BU20" i="1"/>
  <c r="BT20" i="1"/>
  <c r="BS20" i="1"/>
  <c r="BR20" i="1"/>
  <c r="BQ20" i="1"/>
  <c r="BP20" i="1"/>
  <c r="BO20" i="1"/>
  <c r="BN20" i="1"/>
  <c r="BM20" i="1"/>
  <c r="BL20" i="1"/>
  <c r="BK20" i="1"/>
  <c r="BJ20" i="1"/>
  <c r="BI20" i="1"/>
  <c r="BH20" i="1"/>
  <c r="AH20" i="1"/>
  <c r="G20" i="1"/>
  <c r="ED20" i="1" s="1"/>
  <c r="EB19" i="1"/>
  <c r="EA19" i="1"/>
  <c r="DZ19" i="1"/>
  <c r="DY19" i="1"/>
  <c r="DX19" i="1"/>
  <c r="DW19" i="1"/>
  <c r="DU19" i="1"/>
  <c r="DT19" i="1"/>
  <c r="DS19" i="1"/>
  <c r="DR19" i="1"/>
  <c r="DQ19" i="1"/>
  <c r="DP19" i="1"/>
  <c r="DO19" i="1"/>
  <c r="DN19" i="1"/>
  <c r="DM19" i="1"/>
  <c r="DL19" i="1"/>
  <c r="DK19" i="1"/>
  <c r="DJ19" i="1"/>
  <c r="DI19" i="1"/>
  <c r="DH19" i="1"/>
  <c r="DG19" i="1"/>
  <c r="DF19" i="1"/>
  <c r="CW19" i="1"/>
  <c r="CF19" i="1" s="1"/>
  <c r="CE19" i="1" s="1"/>
  <c r="DD19" i="1" s="1"/>
  <c r="CD19" i="1"/>
  <c r="CC19" i="1"/>
  <c r="CB19" i="1"/>
  <c r="CA19" i="1"/>
  <c r="BZ19" i="1"/>
  <c r="BY19" i="1"/>
  <c r="BW19" i="1"/>
  <c r="BV19" i="1"/>
  <c r="BU19" i="1"/>
  <c r="BT19" i="1"/>
  <c r="BS19" i="1"/>
  <c r="BR19" i="1"/>
  <c r="BQ19" i="1"/>
  <c r="BP19" i="1"/>
  <c r="BO19" i="1"/>
  <c r="BN19" i="1"/>
  <c r="BM19" i="1"/>
  <c r="BL19" i="1"/>
  <c r="BK19" i="1"/>
  <c r="BJ19" i="1"/>
  <c r="BI19" i="1"/>
  <c r="BH19" i="1"/>
  <c r="AY19" i="1"/>
  <c r="AH19" i="1" s="1"/>
  <c r="I19" i="1"/>
  <c r="G19" i="1"/>
  <c r="ED19" i="1" s="1"/>
  <c r="EB18" i="1"/>
  <c r="EA18" i="1"/>
  <c r="DZ18" i="1"/>
  <c r="DY18" i="1"/>
  <c r="DX18" i="1"/>
  <c r="DW18" i="1"/>
  <c r="DV18" i="1"/>
  <c r="DU18" i="1"/>
  <c r="DT18" i="1"/>
  <c r="DS18" i="1"/>
  <c r="DR18" i="1"/>
  <c r="DP18" i="1"/>
  <c r="DO18" i="1"/>
  <c r="DN18" i="1"/>
  <c r="DM18" i="1"/>
  <c r="DL18" i="1"/>
  <c r="DK18" i="1"/>
  <c r="DJ18" i="1"/>
  <c r="DI18" i="1"/>
  <c r="DH18" i="1"/>
  <c r="DG18" i="1"/>
  <c r="DF18" i="1"/>
  <c r="CF18" i="1"/>
  <c r="CD18" i="1"/>
  <c r="CC18" i="1"/>
  <c r="CB18" i="1"/>
  <c r="CA18" i="1"/>
  <c r="BZ18" i="1"/>
  <c r="BY18" i="1"/>
  <c r="BX18" i="1"/>
  <c r="BW18" i="1"/>
  <c r="BV18" i="1"/>
  <c r="BU18" i="1"/>
  <c r="BT18" i="1"/>
  <c r="BR18" i="1"/>
  <c r="BQ18" i="1"/>
  <c r="BP18" i="1"/>
  <c r="BO18" i="1"/>
  <c r="BN18" i="1"/>
  <c r="BM18" i="1"/>
  <c r="BL18" i="1"/>
  <c r="BK18" i="1"/>
  <c r="BJ18" i="1"/>
  <c r="BI18" i="1"/>
  <c r="BH18" i="1"/>
  <c r="AH18" i="1"/>
  <c r="U18" i="1"/>
  <c r="U138" i="1" s="1"/>
  <c r="EA17" i="1"/>
  <c r="DZ17" i="1"/>
  <c r="DY17" i="1"/>
  <c r="DW17" i="1"/>
  <c r="DU17" i="1"/>
  <c r="DT17" i="1"/>
  <c r="DS17" i="1"/>
  <c r="DR17" i="1"/>
  <c r="DQ17" i="1"/>
  <c r="DP17" i="1"/>
  <c r="DO17" i="1"/>
  <c r="DN17" i="1"/>
  <c r="DM17" i="1"/>
  <c r="DL17" i="1"/>
  <c r="DK17" i="1"/>
  <c r="DJ17" i="1"/>
  <c r="DI17" i="1"/>
  <c r="DH17" i="1"/>
  <c r="DG17" i="1"/>
  <c r="DF17" i="1"/>
  <c r="DC17" i="1"/>
  <c r="CY17" i="1"/>
  <c r="CY24" i="1" s="1"/>
  <c r="CW17" i="1"/>
  <c r="DV17" i="1" s="1"/>
  <c r="CC17" i="1"/>
  <c r="CB17" i="1"/>
  <c r="CA17" i="1"/>
  <c r="BY17" i="1"/>
  <c r="BW17" i="1"/>
  <c r="BV17" i="1"/>
  <c r="BU17" i="1"/>
  <c r="BT17" i="1"/>
  <c r="BS17" i="1"/>
  <c r="BR17" i="1"/>
  <c r="BQ17" i="1"/>
  <c r="BP17" i="1"/>
  <c r="BO17" i="1"/>
  <c r="BN17" i="1"/>
  <c r="BM17" i="1"/>
  <c r="BL17" i="1"/>
  <c r="BK17" i="1"/>
  <c r="BJ17" i="1"/>
  <c r="BI17" i="1"/>
  <c r="BH17" i="1"/>
  <c r="BE17" i="1"/>
  <c r="BA17" i="1"/>
  <c r="BA24" i="1" s="1"/>
  <c r="AY17" i="1"/>
  <c r="AF17" i="1"/>
  <c r="EB17" i="1" s="1"/>
  <c r="AB17" i="1"/>
  <c r="EB16" i="1"/>
  <c r="EA16" i="1"/>
  <c r="DZ16" i="1"/>
  <c r="DY16" i="1"/>
  <c r="DX16" i="1"/>
  <c r="DW16" i="1"/>
  <c r="DV16" i="1"/>
  <c r="DU16" i="1"/>
  <c r="DT16" i="1"/>
  <c r="DS16" i="1"/>
  <c r="DR16" i="1"/>
  <c r="DQ16" i="1"/>
  <c r="DP16" i="1"/>
  <c r="DO16" i="1"/>
  <c r="DN16" i="1"/>
  <c r="DM16" i="1"/>
  <c r="DL16" i="1"/>
  <c r="DK16" i="1"/>
  <c r="DJ16" i="1"/>
  <c r="DI16" i="1"/>
  <c r="DH16" i="1"/>
  <c r="DF16" i="1"/>
  <c r="DE16" i="1" s="1"/>
  <c r="CF16" i="1"/>
  <c r="CD16" i="1"/>
  <c r="CC16" i="1"/>
  <c r="CB16" i="1"/>
  <c r="CA16" i="1"/>
  <c r="BZ16" i="1"/>
  <c r="BY16" i="1"/>
  <c r="BX16" i="1"/>
  <c r="BW16" i="1"/>
  <c r="BV16" i="1"/>
  <c r="BU16" i="1"/>
  <c r="BT16" i="1"/>
  <c r="BS16" i="1"/>
  <c r="BR16" i="1"/>
  <c r="BQ16" i="1"/>
  <c r="BP16" i="1"/>
  <c r="BO16" i="1"/>
  <c r="BN16" i="1"/>
  <c r="BM16" i="1"/>
  <c r="BL16" i="1"/>
  <c r="BK16" i="1"/>
  <c r="BJ16" i="1"/>
  <c r="BH16" i="1"/>
  <c r="AH16" i="1"/>
  <c r="K16" i="1"/>
  <c r="DG16" i="1" s="1"/>
  <c r="EA15" i="1"/>
  <c r="DZ15" i="1"/>
  <c r="DY15" i="1"/>
  <c r="DX15" i="1"/>
  <c r="DW15" i="1"/>
  <c r="DU15" i="1"/>
  <c r="DT15" i="1"/>
  <c r="DS15" i="1"/>
  <c r="DR15" i="1"/>
  <c r="DQ15" i="1"/>
  <c r="DP15" i="1"/>
  <c r="DO15" i="1"/>
  <c r="DN15" i="1"/>
  <c r="DM15" i="1"/>
  <c r="DL15" i="1"/>
  <c r="DK15" i="1"/>
  <c r="DJ15" i="1"/>
  <c r="DI15" i="1"/>
  <c r="DH15" i="1"/>
  <c r="DF15" i="1"/>
  <c r="DC15" i="1"/>
  <c r="CW15" i="1"/>
  <c r="DV15" i="1" s="1"/>
  <c r="CH15" i="1"/>
  <c r="CC15" i="1"/>
  <c r="CB15" i="1"/>
  <c r="CA15" i="1"/>
  <c r="BZ15" i="1"/>
  <c r="BY15" i="1"/>
  <c r="BW15" i="1"/>
  <c r="BV15" i="1"/>
  <c r="BU15" i="1"/>
  <c r="BT15" i="1"/>
  <c r="BR15" i="1"/>
  <c r="BQ15" i="1"/>
  <c r="BP15" i="1"/>
  <c r="BO15" i="1"/>
  <c r="BN15" i="1"/>
  <c r="BM15" i="1"/>
  <c r="BL15" i="1"/>
  <c r="BK15" i="1"/>
  <c r="BJ15" i="1"/>
  <c r="BH15" i="1"/>
  <c r="BE15" i="1"/>
  <c r="AY15" i="1"/>
  <c r="BX15" i="1" s="1"/>
  <c r="AJ15" i="1"/>
  <c r="AF15" i="1"/>
  <c r="EB15" i="1" s="1"/>
  <c r="U15" i="1"/>
  <c r="BS15" i="1" s="1"/>
  <c r="K15" i="1"/>
  <c r="BI15" i="1" s="1"/>
  <c r="EA14" i="1"/>
  <c r="DZ14" i="1"/>
  <c r="DY14" i="1"/>
  <c r="DX14" i="1"/>
  <c r="DW14" i="1"/>
  <c r="DU14" i="1"/>
  <c r="DT14" i="1"/>
  <c r="DS14" i="1"/>
  <c r="DR14" i="1"/>
  <c r="DQ14" i="1"/>
  <c r="DP14" i="1"/>
  <c r="DO14" i="1"/>
  <c r="DN14" i="1"/>
  <c r="DM14" i="1"/>
  <c r="DL14" i="1"/>
  <c r="DK14" i="1"/>
  <c r="DJ14" i="1"/>
  <c r="DI14" i="1"/>
  <c r="DH14" i="1"/>
  <c r="DG14" i="1"/>
  <c r="DF14" i="1"/>
  <c r="CW14" i="1"/>
  <c r="CF14" i="1" s="1"/>
  <c r="CC14" i="1"/>
  <c r="CB14" i="1"/>
  <c r="CA14" i="1"/>
  <c r="BZ14" i="1"/>
  <c r="BY14" i="1"/>
  <c r="BW14" i="1"/>
  <c r="BV14" i="1"/>
  <c r="BU14" i="1"/>
  <c r="BT14" i="1"/>
  <c r="BS14" i="1"/>
  <c r="BR14" i="1"/>
  <c r="BQ14" i="1"/>
  <c r="BP14" i="1"/>
  <c r="BO14" i="1"/>
  <c r="BN14" i="1"/>
  <c r="BM14" i="1"/>
  <c r="BL14" i="1"/>
  <c r="BK14" i="1"/>
  <c r="BJ14" i="1"/>
  <c r="BI14" i="1"/>
  <c r="BH14" i="1"/>
  <c r="AY14" i="1"/>
  <c r="AH14" i="1" s="1"/>
  <c r="AF14" i="1"/>
  <c r="EB14" i="1" s="1"/>
  <c r="EA13" i="1"/>
  <c r="DZ13" i="1"/>
  <c r="DY13" i="1"/>
  <c r="DX13" i="1"/>
  <c r="DW13" i="1"/>
  <c r="DU13" i="1"/>
  <c r="DT13" i="1"/>
  <c r="DS13" i="1"/>
  <c r="DR13" i="1"/>
  <c r="DP13" i="1"/>
  <c r="DO13" i="1"/>
  <c r="DN13" i="1"/>
  <c r="DM13" i="1"/>
  <c r="DL13" i="1"/>
  <c r="DK13" i="1"/>
  <c r="DJ13" i="1"/>
  <c r="DH13" i="1"/>
  <c r="DF13" i="1"/>
  <c r="DC13" i="1"/>
  <c r="DC136" i="1" s="1"/>
  <c r="CW13" i="1"/>
  <c r="CR13" i="1"/>
  <c r="CJ13" i="1"/>
  <c r="CH13" i="1"/>
  <c r="CC13" i="1"/>
  <c r="CB13" i="1"/>
  <c r="CA13" i="1"/>
  <c r="BZ13" i="1"/>
  <c r="BY13" i="1"/>
  <c r="BW13" i="1"/>
  <c r="BV13" i="1"/>
  <c r="BU13" i="1"/>
  <c r="BT13" i="1"/>
  <c r="BR13" i="1"/>
  <c r="BQ13" i="1"/>
  <c r="BP13" i="1"/>
  <c r="BO13" i="1"/>
  <c r="BN13" i="1"/>
  <c r="BM13" i="1"/>
  <c r="BL13" i="1"/>
  <c r="BJ13" i="1"/>
  <c r="BH13" i="1"/>
  <c r="BE13" i="1"/>
  <c r="AY13" i="1"/>
  <c r="AT13" i="1"/>
  <c r="AT136" i="1" s="1"/>
  <c r="AL13" i="1"/>
  <c r="AL136" i="1" s="1"/>
  <c r="AJ13" i="1"/>
  <c r="AF13" i="1"/>
  <c r="AF136" i="1" s="1"/>
  <c r="U13" i="1"/>
  <c r="U136" i="1" s="1"/>
  <c r="M13" i="1"/>
  <c r="EB12" i="1"/>
  <c r="EA12" i="1"/>
  <c r="DZ12" i="1"/>
  <c r="DY12" i="1"/>
  <c r="DX12" i="1"/>
  <c r="DX136" i="1" s="1"/>
  <c r="DW12" i="1"/>
  <c r="DV12" i="1"/>
  <c r="DU12" i="1"/>
  <c r="DT12" i="1"/>
  <c r="DS12" i="1"/>
  <c r="DR12" i="1"/>
  <c r="DQ12" i="1"/>
  <c r="DP12" i="1"/>
  <c r="DP136" i="1" s="1"/>
  <c r="DO12" i="1"/>
  <c r="DN12" i="1"/>
  <c r="DM12" i="1"/>
  <c r="DL12" i="1"/>
  <c r="DK12" i="1"/>
  <c r="DJ12" i="1"/>
  <c r="DH12" i="1"/>
  <c r="DG12" i="1"/>
  <c r="DF12" i="1"/>
  <c r="CF12" i="1"/>
  <c r="CD12" i="1"/>
  <c r="CC12" i="1"/>
  <c r="CB12" i="1"/>
  <c r="CA12" i="1"/>
  <c r="BZ12" i="1"/>
  <c r="BY12" i="1"/>
  <c r="BY136" i="1" s="1"/>
  <c r="BX12" i="1"/>
  <c r="BW12" i="1"/>
  <c r="BV12" i="1"/>
  <c r="BU12" i="1"/>
  <c r="BT12" i="1"/>
  <c r="BS12" i="1"/>
  <c r="BR12" i="1"/>
  <c r="BQ12" i="1"/>
  <c r="BQ136" i="1" s="1"/>
  <c r="BP12" i="1"/>
  <c r="BO12" i="1"/>
  <c r="BN12" i="1"/>
  <c r="BM12" i="1"/>
  <c r="BL12" i="1"/>
  <c r="BJ12" i="1"/>
  <c r="BI12" i="1"/>
  <c r="BH12" i="1"/>
  <c r="AH12" i="1"/>
  <c r="M12" i="1"/>
  <c r="M136" i="1" s="1"/>
  <c r="G12" i="1"/>
  <c r="EB11" i="1"/>
  <c r="DZ11" i="1"/>
  <c r="DY11" i="1"/>
  <c r="DX11" i="1"/>
  <c r="DW11" i="1"/>
  <c r="DV11" i="1"/>
  <c r="DU11" i="1"/>
  <c r="DT11" i="1"/>
  <c r="DS11" i="1"/>
  <c r="DR11" i="1"/>
  <c r="DQ11" i="1"/>
  <c r="DP11" i="1"/>
  <c r="DO11" i="1"/>
  <c r="DN11" i="1"/>
  <c r="DM11" i="1"/>
  <c r="DL11" i="1"/>
  <c r="DK11" i="1"/>
  <c r="DJ11" i="1"/>
  <c r="DI11" i="1"/>
  <c r="DH11" i="1"/>
  <c r="DG11" i="1"/>
  <c r="DF11" i="1"/>
  <c r="CF11" i="1"/>
  <c r="CD11" i="1"/>
  <c r="CB11" i="1"/>
  <c r="CA11" i="1"/>
  <c r="BZ11" i="1"/>
  <c r="BY11" i="1"/>
  <c r="BX11" i="1"/>
  <c r="BW11" i="1"/>
  <c r="BV11" i="1"/>
  <c r="BU11" i="1"/>
  <c r="BT11" i="1"/>
  <c r="BS11" i="1"/>
  <c r="BR11" i="1"/>
  <c r="BQ11" i="1"/>
  <c r="BP11" i="1"/>
  <c r="BO11" i="1"/>
  <c r="BN11" i="1"/>
  <c r="BM11" i="1"/>
  <c r="BL11" i="1"/>
  <c r="BK11" i="1"/>
  <c r="BJ11" i="1"/>
  <c r="BH11" i="1"/>
  <c r="AH11" i="1"/>
  <c r="AE11" i="1"/>
  <c r="K11" i="1"/>
  <c r="BI11" i="1" s="1"/>
  <c r="EB10" i="1"/>
  <c r="EA10" i="1"/>
  <c r="DZ10" i="1"/>
  <c r="DY10" i="1"/>
  <c r="DX10" i="1"/>
  <c r="DW10" i="1"/>
  <c r="DV10" i="1"/>
  <c r="DU10" i="1"/>
  <c r="DT10" i="1"/>
  <c r="DS10" i="1"/>
  <c r="DR10" i="1"/>
  <c r="DQ10" i="1"/>
  <c r="DP10" i="1"/>
  <c r="DO10" i="1"/>
  <c r="DN10" i="1"/>
  <c r="DM10" i="1"/>
  <c r="DL10" i="1"/>
  <c r="DK10" i="1"/>
  <c r="DJ10" i="1"/>
  <c r="DI10" i="1"/>
  <c r="DH10" i="1"/>
  <c r="DG10" i="1"/>
  <c r="DF10" i="1"/>
  <c r="CF10" i="1"/>
  <c r="CE10" i="1"/>
  <c r="DD10" i="1" s="1"/>
  <c r="CD10" i="1"/>
  <c r="CC10" i="1"/>
  <c r="CB10" i="1"/>
  <c r="CA10" i="1"/>
  <c r="BZ10" i="1"/>
  <c r="BY10" i="1"/>
  <c r="BX10" i="1"/>
  <c r="BW10" i="1"/>
  <c r="BV10" i="1"/>
  <c r="BU10" i="1"/>
  <c r="BT10" i="1"/>
  <c r="BS10" i="1"/>
  <c r="BR10" i="1"/>
  <c r="BQ10" i="1"/>
  <c r="BP10" i="1"/>
  <c r="BO10" i="1"/>
  <c r="BN10" i="1"/>
  <c r="BM10" i="1"/>
  <c r="BL10" i="1"/>
  <c r="BK10" i="1"/>
  <c r="BJ10" i="1"/>
  <c r="BI10" i="1"/>
  <c r="BH10" i="1"/>
  <c r="AH10" i="1"/>
  <c r="AG10" i="1" s="1"/>
  <c r="BF10" i="1" s="1"/>
  <c r="G10" i="1"/>
  <c r="I10" i="1" s="1"/>
  <c r="EA9" i="1"/>
  <c r="DZ9" i="1"/>
  <c r="DY9" i="1"/>
  <c r="DX9" i="1"/>
  <c r="DW9" i="1"/>
  <c r="DU9" i="1"/>
  <c r="DT9" i="1"/>
  <c r="DS9" i="1"/>
  <c r="DR9" i="1"/>
  <c r="DQ9" i="1"/>
  <c r="DP9" i="1"/>
  <c r="DO9" i="1"/>
  <c r="DN9" i="1"/>
  <c r="DM9" i="1"/>
  <c r="DL9" i="1"/>
  <c r="DK9" i="1"/>
  <c r="DJ9" i="1"/>
  <c r="DI9" i="1"/>
  <c r="DH9" i="1"/>
  <c r="DG9" i="1"/>
  <c r="DF9" i="1"/>
  <c r="DC9" i="1"/>
  <c r="CW9" i="1"/>
  <c r="DV9" i="1" s="1"/>
  <c r="CC9" i="1"/>
  <c r="CB9" i="1"/>
  <c r="CA9" i="1"/>
  <c r="BZ9" i="1"/>
  <c r="BY9" i="1"/>
  <c r="BW9" i="1"/>
  <c r="BV9" i="1"/>
  <c r="BU9" i="1"/>
  <c r="BT9" i="1"/>
  <c r="BS9" i="1"/>
  <c r="BR9" i="1"/>
  <c r="BQ9" i="1"/>
  <c r="BP9" i="1"/>
  <c r="BO9" i="1"/>
  <c r="BN9" i="1"/>
  <c r="BM9" i="1"/>
  <c r="BL9" i="1"/>
  <c r="BK9" i="1"/>
  <c r="BJ9" i="1"/>
  <c r="BI9" i="1"/>
  <c r="BH9" i="1"/>
  <c r="BE9" i="1"/>
  <c r="AY9" i="1"/>
  <c r="AF9" i="1"/>
  <c r="G9" i="1" s="1"/>
  <c r="EB8" i="1"/>
  <c r="EA8" i="1"/>
  <c r="DZ8" i="1"/>
  <c r="DY8" i="1"/>
  <c r="DX8" i="1"/>
  <c r="DW8" i="1"/>
  <c r="DU8" i="1"/>
  <c r="DT8" i="1"/>
  <c r="DS8" i="1"/>
  <c r="DR8" i="1"/>
  <c r="DQ8" i="1"/>
  <c r="DP8" i="1"/>
  <c r="DO8" i="1"/>
  <c r="DN8" i="1"/>
  <c r="DM8" i="1"/>
  <c r="DL8" i="1"/>
  <c r="DK8" i="1"/>
  <c r="DJ8" i="1"/>
  <c r="DI8" i="1"/>
  <c r="DH8" i="1"/>
  <c r="DF8" i="1"/>
  <c r="CW8" i="1"/>
  <c r="DV8" i="1" s="1"/>
  <c r="CH8" i="1"/>
  <c r="CD8" i="1"/>
  <c r="CC8" i="1"/>
  <c r="CB8" i="1"/>
  <c r="CA8" i="1"/>
  <c r="BZ8" i="1"/>
  <c r="BY8" i="1"/>
  <c r="BW8" i="1"/>
  <c r="BV8" i="1"/>
  <c r="BU8" i="1"/>
  <c r="BT8" i="1"/>
  <c r="BS8" i="1"/>
  <c r="BR8" i="1"/>
  <c r="BQ8" i="1"/>
  <c r="BP8" i="1"/>
  <c r="BO8" i="1"/>
  <c r="BN8" i="1"/>
  <c r="BM8" i="1"/>
  <c r="BL8" i="1"/>
  <c r="BK8" i="1"/>
  <c r="BJ8" i="1"/>
  <c r="BH8" i="1"/>
  <c r="AY8" i="1"/>
  <c r="AJ8" i="1"/>
  <c r="I8" i="1"/>
  <c r="G8" i="1"/>
  <c r="ED8" i="1" s="1"/>
  <c r="EB7" i="1"/>
  <c r="EA7" i="1"/>
  <c r="DZ7" i="1"/>
  <c r="DY7" i="1"/>
  <c r="DX7" i="1"/>
  <c r="DW7" i="1"/>
  <c r="DV7" i="1"/>
  <c r="DU7" i="1"/>
  <c r="DT7" i="1"/>
  <c r="DS7" i="1"/>
  <c r="DR7" i="1"/>
  <c r="DQ7" i="1"/>
  <c r="DP7" i="1"/>
  <c r="DO7" i="1"/>
  <c r="DN7" i="1"/>
  <c r="DM7" i="1"/>
  <c r="DL7" i="1"/>
  <c r="DK7" i="1"/>
  <c r="DJ7" i="1"/>
  <c r="DI7" i="1"/>
  <c r="DH7" i="1"/>
  <c r="DF7" i="1"/>
  <c r="CF7" i="1"/>
  <c r="CD7" i="1"/>
  <c r="CC7" i="1"/>
  <c r="CB7" i="1"/>
  <c r="CA7" i="1"/>
  <c r="BZ7" i="1"/>
  <c r="BY7" i="1"/>
  <c r="BX7" i="1"/>
  <c r="BW7" i="1"/>
  <c r="BV7" i="1"/>
  <c r="BU7" i="1"/>
  <c r="BT7" i="1"/>
  <c r="BS7" i="1"/>
  <c r="BR7" i="1"/>
  <c r="BQ7" i="1"/>
  <c r="BP7" i="1"/>
  <c r="BO7" i="1"/>
  <c r="BN7" i="1"/>
  <c r="BM7" i="1"/>
  <c r="BL7" i="1"/>
  <c r="BK7" i="1"/>
  <c r="BJ7" i="1"/>
  <c r="BH7" i="1"/>
  <c r="AH7" i="1"/>
  <c r="K7" i="1"/>
  <c r="DG7" i="1" s="1"/>
  <c r="EA6" i="1"/>
  <c r="DZ6" i="1"/>
  <c r="DY6" i="1"/>
  <c r="DX6" i="1"/>
  <c r="DV6" i="1"/>
  <c r="DU6" i="1"/>
  <c r="DT6" i="1"/>
  <c r="DS6" i="1"/>
  <c r="DS24" i="1" s="1"/>
  <c r="DR6" i="1"/>
  <c r="DQ6" i="1"/>
  <c r="DP6" i="1"/>
  <c r="DO6" i="1"/>
  <c r="DN6" i="1"/>
  <c r="DM6" i="1"/>
  <c r="DL6" i="1"/>
  <c r="DK6" i="1"/>
  <c r="DJ6" i="1"/>
  <c r="DI6" i="1"/>
  <c r="DH6" i="1"/>
  <c r="DF6" i="1"/>
  <c r="DC6" i="1"/>
  <c r="CH6" i="1"/>
  <c r="CF6" i="1" s="1"/>
  <c r="CC6" i="1"/>
  <c r="CB6" i="1"/>
  <c r="CA6" i="1"/>
  <c r="BZ6" i="1"/>
  <c r="BX6" i="1"/>
  <c r="BW6" i="1"/>
  <c r="BV6" i="1"/>
  <c r="BU6" i="1"/>
  <c r="BT6" i="1"/>
  <c r="BS6" i="1"/>
  <c r="BR6" i="1"/>
  <c r="BQ6" i="1"/>
  <c r="BP6" i="1"/>
  <c r="BO6" i="1"/>
  <c r="BN6" i="1"/>
  <c r="BM6" i="1"/>
  <c r="BL6" i="1"/>
  <c r="BK6" i="1"/>
  <c r="BJ6" i="1"/>
  <c r="BH6" i="1"/>
  <c r="BE6" i="1"/>
  <c r="AJ6" i="1"/>
  <c r="AF6" i="1"/>
  <c r="EB6" i="1" s="1"/>
  <c r="AA6" i="1"/>
  <c r="K6" i="1"/>
  <c r="CF54" i="1" l="1"/>
  <c r="CE54" i="1" s="1"/>
  <c r="DD54" i="1" s="1"/>
  <c r="CF67" i="1"/>
  <c r="AH72" i="1"/>
  <c r="AH125" i="1"/>
  <c r="CF127" i="1"/>
  <c r="CE127" i="1" s="1"/>
  <c r="DD127" i="1" s="1"/>
  <c r="AW50" i="1"/>
  <c r="AW131" i="1" s="1"/>
  <c r="EB37" i="1"/>
  <c r="DY105" i="1"/>
  <c r="AH115" i="1"/>
  <c r="EB67" i="1"/>
  <c r="CF116" i="1"/>
  <c r="CF72" i="1"/>
  <c r="CA105" i="1"/>
  <c r="CA129" i="1" s="1"/>
  <c r="AH103" i="1"/>
  <c r="AG103" i="1" s="1"/>
  <c r="BF103" i="1" s="1"/>
  <c r="DV19" i="1"/>
  <c r="DE19" i="1" s="1"/>
  <c r="EF19" i="1" s="1"/>
  <c r="CF8" i="1"/>
  <c r="AH15" i="1"/>
  <c r="AG15" i="1" s="1"/>
  <c r="BF15" i="1" s="1"/>
  <c r="DV21" i="1"/>
  <c r="BI22" i="1"/>
  <c r="AH122" i="1"/>
  <c r="AG122" i="1" s="1"/>
  <c r="BF122" i="1" s="1"/>
  <c r="DW126" i="1"/>
  <c r="BB129" i="1"/>
  <c r="DX17" i="1"/>
  <c r="DX24" i="1" s="1"/>
  <c r="AH33" i="1"/>
  <c r="CF35" i="1"/>
  <c r="AH40" i="1"/>
  <c r="DM42" i="1"/>
  <c r="CB43" i="1"/>
  <c r="CB50" i="1" s="1"/>
  <c r="DW52" i="1"/>
  <c r="CF52" i="1"/>
  <c r="CE52" i="1" s="1"/>
  <c r="DD52" i="1" s="1"/>
  <c r="EB63" i="1"/>
  <c r="DE63" i="1" s="1"/>
  <c r="BY118" i="1"/>
  <c r="DW123" i="1"/>
  <c r="I28" i="1"/>
  <c r="ED28" i="1"/>
  <c r="I9" i="1"/>
  <c r="ED9" i="1"/>
  <c r="I79" i="1"/>
  <c r="ED79" i="1"/>
  <c r="BO24" i="1"/>
  <c r="DN24" i="1"/>
  <c r="BX14" i="1"/>
  <c r="BG14" i="1" s="1"/>
  <c r="EE14" i="1" s="1"/>
  <c r="BP138" i="1"/>
  <c r="DO24" i="1"/>
  <c r="G7" i="1"/>
  <c r="BI7" i="1"/>
  <c r="DL24" i="1"/>
  <c r="DT24" i="1"/>
  <c r="DN136" i="1"/>
  <c r="CD15" i="1"/>
  <c r="BX19" i="1"/>
  <c r="BX21" i="1"/>
  <c r="BG21" i="1" s="1"/>
  <c r="EE21" i="1" s="1"/>
  <c r="BP27" i="1"/>
  <c r="CD27" i="1"/>
  <c r="DN29" i="1"/>
  <c r="G33" i="1"/>
  <c r="I33" i="1" s="1"/>
  <c r="BR77" i="1"/>
  <c r="DW54" i="1"/>
  <c r="EB55" i="1"/>
  <c r="DW62" i="1"/>
  <c r="I87" i="1"/>
  <c r="I88" i="1"/>
  <c r="G95" i="1"/>
  <c r="BK105" i="1"/>
  <c r="AH105" i="1"/>
  <c r="AG105" i="1" s="1"/>
  <c r="BF105" i="1" s="1"/>
  <c r="BS105" i="1"/>
  <c r="AG110" i="1"/>
  <c r="BF110" i="1" s="1"/>
  <c r="BQ113" i="1"/>
  <c r="BI16" i="2"/>
  <c r="G16" i="2"/>
  <c r="DM27" i="1"/>
  <c r="DE27" i="1" s="1"/>
  <c r="AA138" i="1"/>
  <c r="BM24" i="1"/>
  <c r="BU24" i="1"/>
  <c r="DE7" i="1"/>
  <c r="EF7" i="1" s="1"/>
  <c r="DG8" i="1"/>
  <c r="DK24" i="1"/>
  <c r="DO136" i="1"/>
  <c r="DW136" i="1"/>
  <c r="CD14" i="1"/>
  <c r="G15" i="1"/>
  <c r="ED15" i="1" s="1"/>
  <c r="CF15" i="1"/>
  <c r="CF17" i="1"/>
  <c r="BS23" i="1"/>
  <c r="P141" i="1"/>
  <c r="ED26" i="1"/>
  <c r="G35" i="1"/>
  <c r="ED35" i="1" s="1"/>
  <c r="CD48" i="1"/>
  <c r="DM49" i="1"/>
  <c r="ED54" i="1"/>
  <c r="I54" i="1"/>
  <c r="BY54" i="1"/>
  <c r="CD55" i="1"/>
  <c r="DQ77" i="1"/>
  <c r="G61" i="1"/>
  <c r="AG64" i="1"/>
  <c r="BF64" i="1" s="1"/>
  <c r="CF75" i="1"/>
  <c r="CE75" i="1" s="1"/>
  <c r="DD75" i="1" s="1"/>
  <c r="BY79" i="1"/>
  <c r="DW79" i="1"/>
  <c r="BR97" i="1"/>
  <c r="DN97" i="1"/>
  <c r="BY83" i="1"/>
  <c r="G84" i="1"/>
  <c r="ED84" i="1" s="1"/>
  <c r="BY84" i="1"/>
  <c r="M135" i="1"/>
  <c r="M97" i="1"/>
  <c r="EB107" i="1"/>
  <c r="BI109" i="1"/>
  <c r="DG109" i="1"/>
  <c r="G109" i="1"/>
  <c r="ED110" i="1"/>
  <c r="G128" i="1"/>
  <c r="AG33" i="1"/>
  <c r="BF33" i="1" s="1"/>
  <c r="CE85" i="1"/>
  <c r="DD85" i="1" s="1"/>
  <c r="CA24" i="1"/>
  <c r="ED80" i="1"/>
  <c r="ED85" i="1"/>
  <c r="I85" i="1"/>
  <c r="I93" i="1"/>
  <c r="ED93" i="1"/>
  <c r="CD9" i="1"/>
  <c r="DH136" i="1"/>
  <c r="G13" i="1"/>
  <c r="ED13" i="1" s="1"/>
  <c r="DV14" i="1"/>
  <c r="DE14" i="1" s="1"/>
  <c r="EF14" i="1" s="1"/>
  <c r="CE20" i="1"/>
  <c r="DD20" i="1" s="1"/>
  <c r="N131" i="1"/>
  <c r="DN27" i="1"/>
  <c r="DN137" i="1" s="1"/>
  <c r="AG28" i="1"/>
  <c r="BF28" i="1" s="1"/>
  <c r="AH41" i="1"/>
  <c r="AG41" i="1" s="1"/>
  <c r="BF41" i="1" s="1"/>
  <c r="BT50" i="1"/>
  <c r="I53" i="1"/>
  <c r="ED53" i="1"/>
  <c r="I67" i="1"/>
  <c r="ED67" i="1"/>
  <c r="BY70" i="1"/>
  <c r="DW70" i="1"/>
  <c r="AG85" i="1"/>
  <c r="BF85" i="1" s="1"/>
  <c r="J97" i="1"/>
  <c r="AC135" i="1"/>
  <c r="DY94" i="1"/>
  <c r="AC97" i="1"/>
  <c r="ED100" i="1"/>
  <c r="I100" i="1"/>
  <c r="DI105" i="1"/>
  <c r="CF105" i="1"/>
  <c r="CE105" i="1" s="1"/>
  <c r="DD105" i="1" s="1"/>
  <c r="DM32" i="2"/>
  <c r="CF32" i="2"/>
  <c r="EF32" i="2" s="1"/>
  <c r="BO35" i="1"/>
  <c r="DM35" i="1"/>
  <c r="DE35" i="1" s="1"/>
  <c r="EF35" i="1" s="1"/>
  <c r="CD36" i="1"/>
  <c r="BG36" i="1" s="1"/>
  <c r="H50" i="1"/>
  <c r="BO37" i="1"/>
  <c r="EB38" i="1"/>
  <c r="AH42" i="1"/>
  <c r="G51" i="1"/>
  <c r="DV139" i="1"/>
  <c r="BU77" i="1"/>
  <c r="CE53" i="1"/>
  <c r="DD53" i="1" s="1"/>
  <c r="DM77" i="1"/>
  <c r="BZ56" i="1"/>
  <c r="DG56" i="1"/>
  <c r="DG57" i="1"/>
  <c r="DW61" i="1"/>
  <c r="DE61" i="1" s="1"/>
  <c r="G62" i="1"/>
  <c r="G65" i="1"/>
  <c r="DG67" i="1"/>
  <c r="DE67" i="1" s="1"/>
  <c r="EF67" i="1" s="1"/>
  <c r="AH69" i="1"/>
  <c r="AG69" i="1" s="1"/>
  <c r="BF69" i="1" s="1"/>
  <c r="DW69" i="1"/>
  <c r="CD71" i="1"/>
  <c r="DG71" i="1"/>
  <c r="G78" i="1"/>
  <c r="I78" i="1" s="1"/>
  <c r="AG79" i="1"/>
  <c r="BF79" i="1" s="1"/>
  <c r="AG81" i="1"/>
  <c r="BF81" i="1" s="1"/>
  <c r="G92" i="1"/>
  <c r="ED92" i="1" s="1"/>
  <c r="DW93" i="1"/>
  <c r="DE93" i="1" s="1"/>
  <c r="EB95" i="1"/>
  <c r="EB98" i="1"/>
  <c r="EB103" i="1"/>
  <c r="AT129" i="1"/>
  <c r="BK108" i="1"/>
  <c r="BY117" i="1"/>
  <c r="DW117" i="1"/>
  <c r="DE117" i="1" s="1"/>
  <c r="DW120" i="1"/>
  <c r="L140" i="1"/>
  <c r="AU140" i="1"/>
  <c r="AU141" i="1" s="1"/>
  <c r="AD51" i="2"/>
  <c r="DM107" i="2"/>
  <c r="DM135" i="2" s="1"/>
  <c r="DM33" i="1"/>
  <c r="CD37" i="1"/>
  <c r="BG37" i="1" s="1"/>
  <c r="EE37" i="1" s="1"/>
  <c r="AH46" i="1"/>
  <c r="AG46" i="1" s="1"/>
  <c r="BF46" i="1" s="1"/>
  <c r="EB48" i="1"/>
  <c r="Y50" i="1"/>
  <c r="BY51" i="1"/>
  <c r="DF139" i="1"/>
  <c r="BI54" i="1"/>
  <c r="BG54" i="1" s="1"/>
  <c r="EB54" i="1"/>
  <c r="DW56" i="1"/>
  <c r="DE56" i="1" s="1"/>
  <c r="BI58" i="1"/>
  <c r="BG58" i="1" s="1"/>
  <c r="EE58" i="1" s="1"/>
  <c r="BZ60" i="1"/>
  <c r="BY62" i="1"/>
  <c r="DG62" i="1"/>
  <c r="DW63" i="1"/>
  <c r="EF64" i="1"/>
  <c r="CD67" i="1"/>
  <c r="DG68" i="1"/>
  <c r="DX69" i="1"/>
  <c r="DE69" i="1" s="1"/>
  <c r="AH78" i="1"/>
  <c r="AG78" i="1" s="1"/>
  <c r="BF78" i="1" s="1"/>
  <c r="BG82" i="1"/>
  <c r="DW83" i="1"/>
  <c r="BH91" i="1"/>
  <c r="DW92" i="1"/>
  <c r="AE129" i="1"/>
  <c r="BP101" i="1"/>
  <c r="EA101" i="1"/>
  <c r="BT134" i="1"/>
  <c r="CB134" i="1"/>
  <c r="DR134" i="1"/>
  <c r="DZ134" i="1"/>
  <c r="BK104" i="1"/>
  <c r="BG104" i="1" s="1"/>
  <c r="EB105" i="1"/>
  <c r="CD106" i="1"/>
  <c r="DI106" i="1"/>
  <c r="CD107" i="1"/>
  <c r="DE110" i="1"/>
  <c r="EF110" i="1" s="1"/>
  <c r="AH114" i="1"/>
  <c r="BI115" i="1"/>
  <c r="DG115" i="1"/>
  <c r="I117" i="1"/>
  <c r="AZ138" i="1"/>
  <c r="BI121" i="1"/>
  <c r="BG121" i="1" s="1"/>
  <c r="EE121" i="1" s="1"/>
  <c r="BY123" i="1"/>
  <c r="BG123" i="1" s="1"/>
  <c r="CD125" i="1"/>
  <c r="AG127" i="1"/>
  <c r="BF127" i="1" s="1"/>
  <c r="CD128" i="1"/>
  <c r="T140" i="1"/>
  <c r="T141" i="1" s="1"/>
  <c r="DT28" i="2"/>
  <c r="BO38" i="2"/>
  <c r="BG38" i="2" s="1"/>
  <c r="G44" i="2"/>
  <c r="EE44" i="2" s="1"/>
  <c r="G70" i="2"/>
  <c r="EE70" i="2" s="1"/>
  <c r="CF84" i="2"/>
  <c r="EF84" i="2" s="1"/>
  <c r="BQ114" i="2"/>
  <c r="BN133" i="1"/>
  <c r="CD101" i="1"/>
  <c r="CC103" i="1"/>
  <c r="CC134" i="1" s="1"/>
  <c r="BJ134" i="1"/>
  <c r="BU134" i="1"/>
  <c r="DI103" i="1"/>
  <c r="DS134" i="1"/>
  <c r="DI14" i="2"/>
  <c r="CD38" i="2"/>
  <c r="G71" i="2"/>
  <c r="G91" i="2"/>
  <c r="EE91" i="2" s="1"/>
  <c r="DM38" i="2"/>
  <c r="BS46" i="2"/>
  <c r="DW52" i="2"/>
  <c r="BZ56" i="2"/>
  <c r="G93" i="2"/>
  <c r="EE93" i="2" s="1"/>
  <c r="DR102" i="2"/>
  <c r="I103" i="2"/>
  <c r="CD104" i="2"/>
  <c r="BO107" i="2"/>
  <c r="BI126" i="2"/>
  <c r="BI68" i="2"/>
  <c r="DW76" i="2"/>
  <c r="G68" i="2"/>
  <c r="EE68" i="2" s="1"/>
  <c r="G57" i="2"/>
  <c r="EE57" i="2" s="1"/>
  <c r="G96" i="2"/>
  <c r="EE96" i="2" s="1"/>
  <c r="DI99" i="2"/>
  <c r="AG103" i="2"/>
  <c r="BF103" i="2" s="1"/>
  <c r="AB139" i="2"/>
  <c r="DG56" i="2"/>
  <c r="G60" i="2"/>
  <c r="EE60" i="2" s="1"/>
  <c r="G99" i="2"/>
  <c r="EE99" i="2" s="1"/>
  <c r="AH104" i="2"/>
  <c r="CD129" i="2"/>
  <c r="AH22" i="2"/>
  <c r="AG22" i="2" s="1"/>
  <c r="BF22" i="2" s="1"/>
  <c r="DF92" i="2"/>
  <c r="CF9" i="2"/>
  <c r="CE9" i="2" s="1"/>
  <c r="DD9" i="2" s="1"/>
  <c r="DI96" i="2"/>
  <c r="DI98" i="2" s="1"/>
  <c r="BS24" i="2"/>
  <c r="AH118" i="2"/>
  <c r="AG118" i="2" s="1"/>
  <c r="BF118" i="2" s="1"/>
  <c r="EB18" i="2"/>
  <c r="BG22" i="2"/>
  <c r="AH40" i="2"/>
  <c r="AG40" i="2" s="1"/>
  <c r="BF40" i="2" s="1"/>
  <c r="BI45" i="2"/>
  <c r="BY53" i="2"/>
  <c r="DW57" i="2"/>
  <c r="CD64" i="2"/>
  <c r="AH70" i="2"/>
  <c r="BY75" i="2"/>
  <c r="BH84" i="2"/>
  <c r="DW93" i="2"/>
  <c r="I100" i="2"/>
  <c r="EE100" i="2"/>
  <c r="I119" i="2"/>
  <c r="EE119" i="2"/>
  <c r="I48" i="2"/>
  <c r="EE48" i="2"/>
  <c r="I71" i="2"/>
  <c r="EE71" i="2"/>
  <c r="DW124" i="2"/>
  <c r="DX125" i="2"/>
  <c r="DE125" i="2" s="1"/>
  <c r="I121" i="2"/>
  <c r="EE121" i="2"/>
  <c r="CD23" i="2"/>
  <c r="EB56" i="2"/>
  <c r="CD91" i="2"/>
  <c r="AB130" i="2"/>
  <c r="DW72" i="2"/>
  <c r="CD56" i="2"/>
  <c r="BY57" i="2"/>
  <c r="M98" i="2"/>
  <c r="CE100" i="2"/>
  <c r="DD100" i="2" s="1"/>
  <c r="EF100" i="2"/>
  <c r="DG12" i="2"/>
  <c r="I33" i="2"/>
  <c r="EE33" i="2"/>
  <c r="G36" i="2"/>
  <c r="EE36" i="2" s="1"/>
  <c r="G56" i="2"/>
  <c r="EE56" i="2" s="1"/>
  <c r="BZ70" i="2"/>
  <c r="BK96" i="2"/>
  <c r="AK98" i="2"/>
  <c r="AK132" i="2" s="1"/>
  <c r="CJ98" i="2"/>
  <c r="CC102" i="2"/>
  <c r="CC134" i="2" s="1"/>
  <c r="AG111" i="2"/>
  <c r="BF111" i="2" s="1"/>
  <c r="DW118" i="2"/>
  <c r="I75" i="2"/>
  <c r="EE75" i="2"/>
  <c r="I90" i="2"/>
  <c r="EE90" i="2"/>
  <c r="CE22" i="2"/>
  <c r="DD22" i="2" s="1"/>
  <c r="DW69" i="2"/>
  <c r="DF95" i="2"/>
  <c r="CD126" i="2"/>
  <c r="BG126" i="2" s="1"/>
  <c r="DW92" i="2"/>
  <c r="CA106" i="2"/>
  <c r="I111" i="2"/>
  <c r="EE111" i="2"/>
  <c r="DW7" i="2"/>
  <c r="CF34" i="2"/>
  <c r="EF34" i="2" s="1"/>
  <c r="G54" i="2"/>
  <c r="DG55" i="2"/>
  <c r="AF98" i="2"/>
  <c r="G109" i="2"/>
  <c r="CE109" i="2" s="1"/>
  <c r="DD109" i="2" s="1"/>
  <c r="I113" i="2"/>
  <c r="G129" i="2"/>
  <c r="BO109" i="2"/>
  <c r="BG109" i="2" s="1"/>
  <c r="CD18" i="2"/>
  <c r="CD16" i="2"/>
  <c r="CF20" i="2"/>
  <c r="CE20" i="2" s="1"/>
  <c r="DD20" i="2" s="1"/>
  <c r="EB38" i="2"/>
  <c r="G39" i="2"/>
  <c r="EE39" i="2" s="1"/>
  <c r="BZ61" i="2"/>
  <c r="DW63" i="2"/>
  <c r="DO102" i="2"/>
  <c r="EB104" i="2"/>
  <c r="DQ107" i="2"/>
  <c r="CM130" i="2"/>
  <c r="CM132" i="2" s="1"/>
  <c r="DG116" i="2"/>
  <c r="EB34" i="2"/>
  <c r="BO30" i="2"/>
  <c r="EB35" i="2"/>
  <c r="DX70" i="2"/>
  <c r="CF70" i="2"/>
  <c r="EF70" i="2" s="1"/>
  <c r="CF118" i="2"/>
  <c r="AX51" i="2"/>
  <c r="AX132" i="2" s="1"/>
  <c r="EB110" i="2"/>
  <c r="EB23" i="2"/>
  <c r="CF23" i="2"/>
  <c r="CF79" i="2"/>
  <c r="EF79" i="2" s="1"/>
  <c r="AH109" i="2"/>
  <c r="AO135" i="2"/>
  <c r="AO141" i="2" s="1"/>
  <c r="CF38" i="2"/>
  <c r="EF38" i="2" s="1"/>
  <c r="EB16" i="2"/>
  <c r="EB52" i="2"/>
  <c r="BY88" i="2"/>
  <c r="DY106" i="2"/>
  <c r="DY130" i="2" s="1"/>
  <c r="DW127" i="2"/>
  <c r="AH16" i="2"/>
  <c r="AG16" i="2" s="1"/>
  <c r="BF16" i="2" s="1"/>
  <c r="AH41" i="2"/>
  <c r="AH52" i="2"/>
  <c r="AH105" i="2"/>
  <c r="AT135" i="2"/>
  <c r="AT141" i="2" s="1"/>
  <c r="DV22" i="2"/>
  <c r="G27" i="2"/>
  <c r="BQ28" i="2"/>
  <c r="DM36" i="2"/>
  <c r="G38" i="2"/>
  <c r="I38" i="2" s="1"/>
  <c r="CD39" i="2"/>
  <c r="CF53" i="2"/>
  <c r="EF53" i="2" s="1"/>
  <c r="BY56" i="2"/>
  <c r="BV78" i="2"/>
  <c r="DW56" i="2"/>
  <c r="AH61" i="2"/>
  <c r="DX61" i="2"/>
  <c r="DG63" i="2"/>
  <c r="AH68" i="2"/>
  <c r="CD68" i="2"/>
  <c r="P132" i="2"/>
  <c r="BJ90" i="2"/>
  <c r="BJ98" i="2" s="1"/>
  <c r="BY92" i="2"/>
  <c r="CF104" i="2"/>
  <c r="EF104" i="2" s="1"/>
  <c r="CD105" i="2"/>
  <c r="AH116" i="2"/>
  <c r="G126" i="2"/>
  <c r="EE126" i="2" s="1"/>
  <c r="CK130" i="2"/>
  <c r="CK132" i="2" s="1"/>
  <c r="AF137" i="2"/>
  <c r="CD14" i="2"/>
  <c r="AH20" i="2"/>
  <c r="AG20" i="2" s="1"/>
  <c r="BF20" i="2" s="1"/>
  <c r="AH23" i="2"/>
  <c r="G34" i="2"/>
  <c r="DW37" i="2"/>
  <c r="CL140" i="2"/>
  <c r="CL141" i="2" s="1"/>
  <c r="CF69" i="2"/>
  <c r="EF69" i="2" s="1"/>
  <c r="DW85" i="2"/>
  <c r="CF97" i="2"/>
  <c r="EF97" i="2" s="1"/>
  <c r="EB101" i="2"/>
  <c r="BQ102" i="2"/>
  <c r="CF108" i="2"/>
  <c r="EF108" i="2" s="1"/>
  <c r="BH116" i="2"/>
  <c r="AT130" i="2"/>
  <c r="CD36" i="2"/>
  <c r="CF44" i="2"/>
  <c r="EF44" i="2" s="1"/>
  <c r="CA80" i="2"/>
  <c r="BH96" i="2"/>
  <c r="BG100" i="2"/>
  <c r="AC98" i="2"/>
  <c r="AE130" i="2"/>
  <c r="CA137" i="2"/>
  <c r="AN78" i="2"/>
  <c r="AN132" i="2" s="1"/>
  <c r="G88" i="2"/>
  <c r="CE103" i="2"/>
  <c r="DD103" i="2" s="1"/>
  <c r="G106" i="2"/>
  <c r="EE106" i="2" s="1"/>
  <c r="CD108" i="2"/>
  <c r="DI120" i="2"/>
  <c r="BY121" i="2"/>
  <c r="BG121" i="2" s="1"/>
  <c r="J135" i="2"/>
  <c r="BY84" i="2"/>
  <c r="DG118" i="2"/>
  <c r="R130" i="2"/>
  <c r="DW54" i="2"/>
  <c r="CD110" i="2"/>
  <c r="CD113" i="2"/>
  <c r="BG113" i="2" s="1"/>
  <c r="CE21" i="2"/>
  <c r="DD21" i="2" s="1"/>
  <c r="DP51" i="2"/>
  <c r="CD34" i="2"/>
  <c r="DH51" i="2"/>
  <c r="DU25" i="2"/>
  <c r="G12" i="2"/>
  <c r="AG12" i="2" s="1"/>
  <c r="BF12" i="2" s="1"/>
  <c r="BS16" i="2"/>
  <c r="CD35" i="2"/>
  <c r="Y51" i="2"/>
  <c r="DG57" i="2"/>
  <c r="BL78" i="2"/>
  <c r="DE65" i="2"/>
  <c r="BY76" i="2"/>
  <c r="CF92" i="2"/>
  <c r="EF92" i="2" s="1"/>
  <c r="G95" i="2"/>
  <c r="DY134" i="2"/>
  <c r="G116" i="2"/>
  <c r="BK120" i="2"/>
  <c r="BZ127" i="2"/>
  <c r="J130" i="2"/>
  <c r="AA98" i="2"/>
  <c r="CE85" i="2"/>
  <c r="DD85" i="2" s="1"/>
  <c r="BX51" i="2"/>
  <c r="BY37" i="2"/>
  <c r="BY85" i="2"/>
  <c r="BG85" i="2" s="1"/>
  <c r="DY95" i="2"/>
  <c r="EB108" i="2"/>
  <c r="K25" i="2"/>
  <c r="AE25" i="2"/>
  <c r="DM27" i="2"/>
  <c r="DE27" i="2" s="1"/>
  <c r="BO33" i="2"/>
  <c r="BG33" i="2" s="1"/>
  <c r="BZ63" i="2"/>
  <c r="DG76" i="2"/>
  <c r="DE76" i="2" s="1"/>
  <c r="DP98" i="2"/>
  <c r="CC104" i="2"/>
  <c r="CC135" i="2" s="1"/>
  <c r="AA139" i="2"/>
  <c r="DV15" i="2"/>
  <c r="DE15" i="2" s="1"/>
  <c r="AG21" i="2"/>
  <c r="BF21" i="2" s="1"/>
  <c r="L132" i="2"/>
  <c r="CF30" i="2"/>
  <c r="EF30" i="2" s="1"/>
  <c r="BO34" i="2"/>
  <c r="X51" i="2"/>
  <c r="X132" i="2" s="1"/>
  <c r="CF55" i="2"/>
  <c r="EF55" i="2" s="1"/>
  <c r="CD10" i="2"/>
  <c r="BG10" i="2" s="1"/>
  <c r="CC12" i="2"/>
  <c r="CC139" i="2" s="1"/>
  <c r="EA12" i="2"/>
  <c r="EA139" i="2" s="1"/>
  <c r="BE137" i="2"/>
  <c r="G18" i="2"/>
  <c r="I18" i="2" s="1"/>
  <c r="AW138" i="2"/>
  <c r="AW141" i="2" s="1"/>
  <c r="DN28" i="2"/>
  <c r="G37" i="2"/>
  <c r="AH39" i="2"/>
  <c r="DO39" i="2"/>
  <c r="BW47" i="2"/>
  <c r="BW138" i="2" s="1"/>
  <c r="CD52" i="2"/>
  <c r="EB53" i="2"/>
  <c r="BY55" i="2"/>
  <c r="EB64" i="2"/>
  <c r="EB66" i="2"/>
  <c r="DE66" i="2" s="1"/>
  <c r="BI72" i="2"/>
  <c r="CE83" i="2"/>
  <c r="DD83" i="2" s="1"/>
  <c r="EB91" i="2"/>
  <c r="EB105" i="2"/>
  <c r="BS107" i="2"/>
  <c r="BS130" i="2" s="1"/>
  <c r="CF116" i="2"/>
  <c r="EB129" i="2"/>
  <c r="BU139" i="2"/>
  <c r="BV134" i="2"/>
  <c r="DN130" i="2"/>
  <c r="DE111" i="2"/>
  <c r="BG111" i="2"/>
  <c r="I126" i="2"/>
  <c r="I112" i="2"/>
  <c r="I123" i="2"/>
  <c r="BS134" i="2"/>
  <c r="AG100" i="2"/>
  <c r="BF100" i="2" s="1"/>
  <c r="DE100" i="2"/>
  <c r="I83" i="2"/>
  <c r="AG83" i="2"/>
  <c r="BF83" i="2" s="1"/>
  <c r="DE95" i="2"/>
  <c r="BS98" i="2"/>
  <c r="EA98" i="2"/>
  <c r="CE89" i="2"/>
  <c r="DD89" i="2" s="1"/>
  <c r="AD132" i="2"/>
  <c r="CB98" i="2"/>
  <c r="DX98" i="2"/>
  <c r="T132" i="2"/>
  <c r="DR98" i="2"/>
  <c r="BG83" i="2"/>
  <c r="DM136" i="2"/>
  <c r="I87" i="2"/>
  <c r="DP78" i="2"/>
  <c r="DR140" i="2"/>
  <c r="O132" i="2"/>
  <c r="CS132" i="2"/>
  <c r="I65" i="2"/>
  <c r="AG75" i="2"/>
  <c r="BF75" i="2" s="1"/>
  <c r="AU132" i="2"/>
  <c r="I58" i="2"/>
  <c r="BN78" i="2"/>
  <c r="AG65" i="2"/>
  <c r="BF65" i="2" s="1"/>
  <c r="CE71" i="2"/>
  <c r="DD71" i="2" s="1"/>
  <c r="W132" i="2"/>
  <c r="I57" i="2"/>
  <c r="BG65" i="2"/>
  <c r="BH51" i="2"/>
  <c r="CE31" i="2"/>
  <c r="DD31" i="2" s="1"/>
  <c r="AG31" i="2"/>
  <c r="BF31" i="2" s="1"/>
  <c r="I42" i="2"/>
  <c r="DP25" i="2"/>
  <c r="BP137" i="2"/>
  <c r="BX137" i="2"/>
  <c r="BG21" i="2"/>
  <c r="CK141" i="2"/>
  <c r="BL139" i="2"/>
  <c r="BT139" i="2"/>
  <c r="BN25" i="2"/>
  <c r="BY137" i="2"/>
  <c r="DE20" i="2"/>
  <c r="BU25" i="2"/>
  <c r="BO25" i="2"/>
  <c r="DK137" i="2"/>
  <c r="BG20" i="2"/>
  <c r="AD141" i="2"/>
  <c r="DL137" i="2"/>
  <c r="DT137" i="2"/>
  <c r="DE22" i="2"/>
  <c r="I24" i="2"/>
  <c r="DE8" i="2"/>
  <c r="I9" i="2"/>
  <c r="DL25" i="2"/>
  <c r="DY25" i="2"/>
  <c r="EA137" i="2"/>
  <c r="CS141" i="2"/>
  <c r="DE11" i="2"/>
  <c r="I21" i="2"/>
  <c r="Z141" i="2"/>
  <c r="DT25" i="2"/>
  <c r="AU141" i="2"/>
  <c r="BW25" i="2"/>
  <c r="DS137" i="2"/>
  <c r="P141" i="2"/>
  <c r="DX119" i="2"/>
  <c r="DX135" i="2" s="1"/>
  <c r="EB126" i="2"/>
  <c r="DE8" i="1"/>
  <c r="DE17" i="1"/>
  <c r="EF17" i="1" s="1"/>
  <c r="DC137" i="2"/>
  <c r="CF18" i="2"/>
  <c r="CF126" i="2"/>
  <c r="EF126" i="2" s="1"/>
  <c r="CJ133" i="1"/>
  <c r="AH6" i="1"/>
  <c r="DC138" i="1"/>
  <c r="AH17" i="1"/>
  <c r="AH22" i="1"/>
  <c r="AG22" i="1" s="1"/>
  <c r="BF22" i="1" s="1"/>
  <c r="BV25" i="1"/>
  <c r="BV50" i="1" s="1"/>
  <c r="DT27" i="1"/>
  <c r="CF37" i="1"/>
  <c r="DG44" i="1"/>
  <c r="AH58" i="1"/>
  <c r="AH75" i="1"/>
  <c r="AG75" i="1" s="1"/>
  <c r="BF75" i="1" s="1"/>
  <c r="DY87" i="1"/>
  <c r="CF90" i="1"/>
  <c r="BI122" i="1"/>
  <c r="BG122" i="1" s="1"/>
  <c r="AH9" i="2"/>
  <c r="AG9" i="2" s="1"/>
  <c r="BF9" i="2" s="1"/>
  <c r="BV28" i="2"/>
  <c r="CF39" i="2"/>
  <c r="CF41" i="2"/>
  <c r="DZ44" i="2"/>
  <c r="DZ51" i="2" s="1"/>
  <c r="AW51" i="2"/>
  <c r="AW132" i="2" s="1"/>
  <c r="CF76" i="2"/>
  <c r="EB102" i="2"/>
  <c r="AH114" i="2"/>
  <c r="BI118" i="2"/>
  <c r="CF125" i="2"/>
  <c r="DB141" i="2"/>
  <c r="CH138" i="1"/>
  <c r="BG66" i="1"/>
  <c r="CA79" i="1"/>
  <c r="BG79" i="1" s="1"/>
  <c r="EE79" i="1" s="1"/>
  <c r="CF28" i="2"/>
  <c r="EF28" i="2" s="1"/>
  <c r="BG89" i="2"/>
  <c r="CH136" i="1"/>
  <c r="CY138" i="1"/>
  <c r="DE31" i="1"/>
  <c r="CD38" i="1"/>
  <c r="CD40" i="1"/>
  <c r="DG54" i="1"/>
  <c r="CF69" i="1"/>
  <c r="CF92" i="1"/>
  <c r="DE92" i="1"/>
  <c r="CD95" i="1"/>
  <c r="EB106" i="1"/>
  <c r="AH33" i="2"/>
  <c r="AG33" i="2" s="1"/>
  <c r="BF33" i="2" s="1"/>
  <c r="CF43" i="2"/>
  <c r="EF43" i="2" s="1"/>
  <c r="AH53" i="2"/>
  <c r="BY102" i="2"/>
  <c r="BY134" i="2" s="1"/>
  <c r="DI105" i="2"/>
  <c r="DE105" i="2" s="1"/>
  <c r="AH107" i="2"/>
  <c r="DI109" i="2"/>
  <c r="DE109" i="2" s="1"/>
  <c r="CF74" i="2"/>
  <c r="EF74" i="2" s="1"/>
  <c r="BZ41" i="1"/>
  <c r="BG41" i="1" s="1"/>
  <c r="EE41" i="1" s="1"/>
  <c r="CV50" i="1"/>
  <c r="DY79" i="1"/>
  <c r="DE79" i="1" s="1"/>
  <c r="EF79" i="1" s="1"/>
  <c r="BK105" i="2"/>
  <c r="EB9" i="1"/>
  <c r="DE9" i="1" s="1"/>
  <c r="CF9" i="1"/>
  <c r="CE9" i="1" s="1"/>
  <c r="DD9" i="1" s="1"/>
  <c r="BX17" i="1"/>
  <c r="AH38" i="1"/>
  <c r="CF40" i="1"/>
  <c r="CF61" i="1"/>
  <c r="CE61" i="1" s="1"/>
  <c r="DD61" i="1" s="1"/>
  <c r="CF91" i="1"/>
  <c r="DI104" i="1"/>
  <c r="DI107" i="1"/>
  <c r="CW25" i="2"/>
  <c r="AH15" i="2"/>
  <c r="AG15" i="2" s="1"/>
  <c r="BF15" i="2" s="1"/>
  <c r="CF27" i="2"/>
  <c r="EB37" i="2"/>
  <c r="DM39" i="2"/>
  <c r="AH29" i="1"/>
  <c r="AG29" i="1" s="1"/>
  <c r="BF29" i="1" s="1"/>
  <c r="AH69" i="2"/>
  <c r="CQ50" i="1"/>
  <c r="CQ131" i="1" s="1"/>
  <c r="CF29" i="1"/>
  <c r="CE29" i="1" s="1"/>
  <c r="DD29" i="1" s="1"/>
  <c r="DM30" i="1"/>
  <c r="DE30" i="1" s="1"/>
  <c r="EF30" i="1" s="1"/>
  <c r="CF31" i="1"/>
  <c r="EF31" i="1" s="1"/>
  <c r="CF47" i="1"/>
  <c r="AH60" i="1"/>
  <c r="DF78" i="1"/>
  <c r="BH93" i="1"/>
  <c r="EB111" i="1"/>
  <c r="DE111" i="1" s="1"/>
  <c r="EF111" i="1" s="1"/>
  <c r="AR138" i="2"/>
  <c r="AR141" i="2" s="1"/>
  <c r="DM30" i="2"/>
  <c r="BQ39" i="2"/>
  <c r="DF96" i="2"/>
  <c r="BE130" i="2"/>
  <c r="AH117" i="2"/>
  <c r="N141" i="2"/>
  <c r="CF26" i="1"/>
  <c r="CE26" i="1" s="1"/>
  <c r="DD26" i="1" s="1"/>
  <c r="DM32" i="1"/>
  <c r="DE32" i="1" s="1"/>
  <c r="EF32" i="1" s="1"/>
  <c r="DM45" i="1"/>
  <c r="DE45" i="1" s="1"/>
  <c r="EF45" i="1" s="1"/>
  <c r="BI46" i="1"/>
  <c r="AH62" i="1"/>
  <c r="AG62" i="1" s="1"/>
  <c r="BF62" i="1" s="1"/>
  <c r="AH38" i="2"/>
  <c r="CV138" i="2"/>
  <c r="DU47" i="2"/>
  <c r="DU51" i="2" s="1"/>
  <c r="CR138" i="2"/>
  <c r="CR51" i="2"/>
  <c r="DG54" i="2"/>
  <c r="CF54" i="2"/>
  <c r="CF63" i="2"/>
  <c r="EF63" i="2" s="1"/>
  <c r="AV130" i="2"/>
  <c r="AV132" i="2" s="1"/>
  <c r="AV134" i="2"/>
  <c r="AV141" i="2" s="1"/>
  <c r="AH99" i="2"/>
  <c r="CF99" i="2"/>
  <c r="DS99" i="2"/>
  <c r="DS134" i="2" s="1"/>
  <c r="CW136" i="1"/>
  <c r="CE35" i="1"/>
  <c r="DD35" i="1" s="1"/>
  <c r="CF36" i="1"/>
  <c r="CE36" i="1" s="1"/>
  <c r="DD36" i="1" s="1"/>
  <c r="CF42" i="1"/>
  <c r="DG47" i="1"/>
  <c r="BY73" i="1"/>
  <c r="DV91" i="1"/>
  <c r="CE15" i="2"/>
  <c r="DD15" i="2" s="1"/>
  <c r="DW74" i="2"/>
  <c r="AH110" i="2"/>
  <c r="BI129" i="2"/>
  <c r="AH129" i="2"/>
  <c r="CF27" i="1"/>
  <c r="CF33" i="1"/>
  <c r="CF38" i="1"/>
  <c r="CA86" i="1"/>
  <c r="BG86" i="1" s="1"/>
  <c r="EE86" i="1" s="1"/>
  <c r="CH24" i="1"/>
  <c r="BE50" i="1"/>
  <c r="BO28" i="1"/>
  <c r="BG28" i="1" s="1"/>
  <c r="EE28" i="1" s="1"/>
  <c r="DM28" i="1"/>
  <c r="DE28" i="1" s="1"/>
  <c r="EF28" i="1" s="1"/>
  <c r="AH34" i="1"/>
  <c r="CF34" i="1"/>
  <c r="AR50" i="1"/>
  <c r="AR131" i="1" s="1"/>
  <c r="DU46" i="1"/>
  <c r="BE77" i="1"/>
  <c r="AH65" i="1"/>
  <c r="AG65" i="1" s="1"/>
  <c r="BF65" i="1" s="1"/>
  <c r="CD85" i="1"/>
  <c r="BG85" i="1" s="1"/>
  <c r="EE85" i="1" s="1"/>
  <c r="BX90" i="1"/>
  <c r="AH90" i="1"/>
  <c r="AJ97" i="1"/>
  <c r="BE97" i="1"/>
  <c r="EB109" i="1"/>
  <c r="CF124" i="1"/>
  <c r="DG124" i="1"/>
  <c r="BZ126" i="1"/>
  <c r="AH42" i="2"/>
  <c r="AG42" i="2" s="1"/>
  <c r="BF42" i="2" s="1"/>
  <c r="BZ42" i="2"/>
  <c r="BG42" i="2" s="1"/>
  <c r="BM64" i="2"/>
  <c r="BM140" i="2" s="1"/>
  <c r="AJ136" i="2"/>
  <c r="AH96" i="2"/>
  <c r="AG96" i="2" s="1"/>
  <c r="BF96" i="2" s="1"/>
  <c r="BI96" i="2"/>
  <c r="BI98" i="2" s="1"/>
  <c r="AH119" i="2"/>
  <c r="AG119" i="2" s="1"/>
  <c r="BF119" i="2" s="1"/>
  <c r="AH74" i="1"/>
  <c r="AG74" i="1" s="1"/>
  <c r="BF74" i="1" s="1"/>
  <c r="BY74" i="1"/>
  <c r="BG74" i="1" s="1"/>
  <c r="AH92" i="1"/>
  <c r="AG92" i="1" s="1"/>
  <c r="BF92" i="1" s="1"/>
  <c r="BX92" i="1"/>
  <c r="AH55" i="2"/>
  <c r="BI55" i="2"/>
  <c r="CD66" i="2"/>
  <c r="BG66" i="2" s="1"/>
  <c r="AH66" i="2"/>
  <c r="AG66" i="2" s="1"/>
  <c r="BF66" i="2" s="1"/>
  <c r="CD100" i="1"/>
  <c r="AH100" i="1"/>
  <c r="AG100" i="1" s="1"/>
  <c r="BF100" i="1" s="1"/>
  <c r="BS13" i="1"/>
  <c r="BS136" i="1" s="1"/>
  <c r="AH25" i="1"/>
  <c r="DE41" i="1"/>
  <c r="BC137" i="1"/>
  <c r="BC140" i="1" s="1"/>
  <c r="BC50" i="1"/>
  <c r="BC131" i="1" s="1"/>
  <c r="BG44" i="1"/>
  <c r="AX140" i="2"/>
  <c r="AX141" i="2" s="1"/>
  <c r="AH67" i="2"/>
  <c r="AG67" i="2" s="1"/>
  <c r="BF67" i="2" s="1"/>
  <c r="BK108" i="2"/>
  <c r="AH108" i="2"/>
  <c r="CF22" i="1"/>
  <c r="CE22" i="1" s="1"/>
  <c r="DD22" i="1" s="1"/>
  <c r="BO30" i="1"/>
  <c r="BG30" i="1" s="1"/>
  <c r="EE30" i="1" s="1"/>
  <c r="BI95" i="1"/>
  <c r="BI135" i="1" s="1"/>
  <c r="CF98" i="1"/>
  <c r="BG15" i="2"/>
  <c r="BO31" i="2"/>
  <c r="BG31" i="2" s="1"/>
  <c r="DG47" i="2"/>
  <c r="CF47" i="2"/>
  <c r="CW98" i="2"/>
  <c r="AH86" i="2"/>
  <c r="CD86" i="2"/>
  <c r="BG86" i="2" s="1"/>
  <c r="CD90" i="2"/>
  <c r="AH90" i="2"/>
  <c r="AG90" i="2" s="1"/>
  <c r="BF90" i="2" s="1"/>
  <c r="DI108" i="2"/>
  <c r="AJ135" i="2"/>
  <c r="CJ135" i="2"/>
  <c r="DP50" i="1"/>
  <c r="BA139" i="2"/>
  <c r="BA25" i="2"/>
  <c r="BZ18" i="2"/>
  <c r="BZ25" i="2" s="1"/>
  <c r="BG23" i="1"/>
  <c r="EE23" i="1" s="1"/>
  <c r="DE26" i="1"/>
  <c r="AH35" i="1"/>
  <c r="AG35" i="1" s="1"/>
  <c r="BF35" i="1" s="1"/>
  <c r="BY68" i="1"/>
  <c r="BG68" i="1" s="1"/>
  <c r="AH68" i="1"/>
  <c r="DW75" i="2"/>
  <c r="DE75" i="2" s="1"/>
  <c r="CF75" i="2"/>
  <c r="BO36" i="1"/>
  <c r="CV139" i="1"/>
  <c r="CV140" i="1" s="1"/>
  <c r="CV77" i="1"/>
  <c r="DI108" i="1"/>
  <c r="DE108" i="1" s="1"/>
  <c r="AH124" i="1"/>
  <c r="BI124" i="1"/>
  <c r="BA138" i="1"/>
  <c r="AH23" i="1"/>
  <c r="AG23" i="1" s="1"/>
  <c r="BF23" i="1" s="1"/>
  <c r="BP29" i="1"/>
  <c r="BI57" i="1"/>
  <c r="BG57" i="1" s="1"/>
  <c r="EE57" i="1" s="1"/>
  <c r="BY60" i="1"/>
  <c r="AH10" i="2"/>
  <c r="AG10" i="2" s="1"/>
  <c r="BF10" i="2" s="1"/>
  <c r="BI24" i="2"/>
  <c r="AH24" i="2"/>
  <c r="AG24" i="2" s="1"/>
  <c r="BF24" i="2" s="1"/>
  <c r="BA51" i="2"/>
  <c r="BZ30" i="2"/>
  <c r="DM33" i="2"/>
  <c r="DE33" i="2" s="1"/>
  <c r="AH50" i="2"/>
  <c r="DX63" i="2"/>
  <c r="AH94" i="2"/>
  <c r="AH106" i="2"/>
  <c r="BK106" i="2"/>
  <c r="BK107" i="2"/>
  <c r="CD112" i="2"/>
  <c r="BG112" i="2" s="1"/>
  <c r="AH112" i="2"/>
  <c r="BY56" i="1"/>
  <c r="AH73" i="1"/>
  <c r="CF73" i="1"/>
  <c r="BH83" i="1"/>
  <c r="BG92" i="1"/>
  <c r="EE92" i="1" s="1"/>
  <c r="BK102" i="1"/>
  <c r="BG102" i="1" s="1"/>
  <c r="EE102" i="1" s="1"/>
  <c r="CF114" i="1"/>
  <c r="CE114" i="1" s="1"/>
  <c r="DD114" i="1" s="1"/>
  <c r="CF120" i="1"/>
  <c r="CE120" i="1" s="1"/>
  <c r="DD120" i="1" s="1"/>
  <c r="BO35" i="2"/>
  <c r="AH48" i="2"/>
  <c r="AG48" i="2" s="1"/>
  <c r="BF48" i="2" s="1"/>
  <c r="BO50" i="2"/>
  <c r="DA51" i="2"/>
  <c r="DA132" i="2" s="1"/>
  <c r="AH62" i="2"/>
  <c r="CF68" i="2"/>
  <c r="EF68" i="2" s="1"/>
  <c r="CF105" i="2"/>
  <c r="EF105" i="2" s="1"/>
  <c r="BY118" i="2"/>
  <c r="EB47" i="1"/>
  <c r="BG48" i="1"/>
  <c r="EB49" i="1"/>
  <c r="AH54" i="1"/>
  <c r="AG54" i="1" s="1"/>
  <c r="BF54" i="1" s="1"/>
  <c r="CF55" i="1"/>
  <c r="DX60" i="1"/>
  <c r="AH66" i="1"/>
  <c r="AG66" i="1" s="1"/>
  <c r="BF66" i="1" s="1"/>
  <c r="DW68" i="1"/>
  <c r="AV140" i="1"/>
  <c r="CF115" i="1"/>
  <c r="AH123" i="1"/>
  <c r="AG123" i="1" s="1"/>
  <c r="BF123" i="1" s="1"/>
  <c r="BI128" i="1"/>
  <c r="BG128" i="1" s="1"/>
  <c r="EB10" i="2"/>
  <c r="AJ137" i="2"/>
  <c r="CF16" i="2"/>
  <c r="CE16" i="2" s="1"/>
  <c r="DD16" i="2" s="1"/>
  <c r="AL25" i="2"/>
  <c r="AT25" i="2"/>
  <c r="BO36" i="2"/>
  <c r="BI50" i="2"/>
  <c r="BW67" i="2"/>
  <c r="BW140" i="2" s="1"/>
  <c r="BG75" i="2"/>
  <c r="AH91" i="2"/>
  <c r="AG91" i="2" s="1"/>
  <c r="BF91" i="2" s="1"/>
  <c r="CF101" i="2"/>
  <c r="EF101" i="2" s="1"/>
  <c r="BN114" i="2"/>
  <c r="BN135" i="2" s="1"/>
  <c r="BG119" i="2"/>
  <c r="AH121" i="2"/>
  <c r="AG121" i="2" s="1"/>
  <c r="BF121" i="2" s="1"/>
  <c r="DX127" i="2"/>
  <c r="CF56" i="1"/>
  <c r="EB100" i="1"/>
  <c r="AH35" i="2"/>
  <c r="EB36" i="2"/>
  <c r="AH46" i="2"/>
  <c r="CF46" i="2"/>
  <c r="EF46" i="2" s="1"/>
  <c r="BY48" i="2"/>
  <c r="DX57" i="2"/>
  <c r="AZ78" i="2"/>
  <c r="BI62" i="2"/>
  <c r="DG70" i="2"/>
  <c r="CF72" i="2"/>
  <c r="EF72" i="2" s="1"/>
  <c r="BY73" i="2"/>
  <c r="BY74" i="2"/>
  <c r="BI76" i="2"/>
  <c r="BH92" i="2"/>
  <c r="BY94" i="2"/>
  <c r="EB112" i="2"/>
  <c r="DE112" i="2" s="1"/>
  <c r="BH120" i="2"/>
  <c r="BY124" i="2"/>
  <c r="CF127" i="2"/>
  <c r="EF127" i="2" s="1"/>
  <c r="BI61" i="1"/>
  <c r="BY63" i="1"/>
  <c r="BI67" i="1"/>
  <c r="CF68" i="1"/>
  <c r="BY69" i="1"/>
  <c r="EB71" i="1"/>
  <c r="CD103" i="1"/>
  <c r="AH113" i="1"/>
  <c r="BN113" i="1"/>
  <c r="CF128" i="1"/>
  <c r="CE128" i="1" s="1"/>
  <c r="DD128" i="1" s="1"/>
  <c r="AH34" i="2"/>
  <c r="AH36" i="2"/>
  <c r="AH56" i="2"/>
  <c r="DG68" i="2"/>
  <c r="DW70" i="2"/>
  <c r="AH73" i="2"/>
  <c r="AH74" i="2"/>
  <c r="DY85" i="2"/>
  <c r="CF107" i="2"/>
  <c r="EF107" i="2" s="1"/>
  <c r="CX139" i="2"/>
  <c r="AH124" i="2"/>
  <c r="AO130" i="2"/>
  <c r="AO132" i="2" s="1"/>
  <c r="CN135" i="2"/>
  <c r="I13" i="2"/>
  <c r="AG13" i="2"/>
  <c r="BF13" i="2" s="1"/>
  <c r="DC25" i="2"/>
  <c r="BR138" i="2"/>
  <c r="BR51" i="2"/>
  <c r="DL138" i="2"/>
  <c r="DL51" i="2"/>
  <c r="BP28" i="2"/>
  <c r="AH28" i="2"/>
  <c r="DN30" i="2"/>
  <c r="R51" i="2"/>
  <c r="I32" i="2"/>
  <c r="DG53" i="2"/>
  <c r="G53" i="2"/>
  <c r="EE53" i="2" s="1"/>
  <c r="BI53" i="2"/>
  <c r="BI54" i="2"/>
  <c r="BG54" i="2" s="1"/>
  <c r="AH54" i="2"/>
  <c r="CF62" i="2"/>
  <c r="EF62" i="2" s="1"/>
  <c r="DG62" i="2"/>
  <c r="CF73" i="2"/>
  <c r="EF73" i="2" s="1"/>
  <c r="DG73" i="2"/>
  <c r="AJ130" i="2"/>
  <c r="AJ134" i="2"/>
  <c r="AH102" i="2"/>
  <c r="DK139" i="2"/>
  <c r="DS139" i="2"/>
  <c r="DS25" i="2"/>
  <c r="EA25" i="2"/>
  <c r="CY139" i="2"/>
  <c r="CY25" i="2"/>
  <c r="BE25" i="2"/>
  <c r="BO32" i="2"/>
  <c r="BG32" i="2" s="1"/>
  <c r="AH32" i="2"/>
  <c r="CE32" i="2"/>
  <c r="DD32" i="2" s="1"/>
  <c r="DM35" i="2"/>
  <c r="CF35" i="2"/>
  <c r="EF35" i="2" s="1"/>
  <c r="I40" i="2"/>
  <c r="DM43" i="2"/>
  <c r="BO43" i="2"/>
  <c r="G43" i="2"/>
  <c r="EE43" i="2" s="1"/>
  <c r="EB55" i="2"/>
  <c r="CD55" i="2"/>
  <c r="BI59" i="2"/>
  <c r="AH59" i="2"/>
  <c r="CV140" i="2"/>
  <c r="CV78" i="2"/>
  <c r="CV132" i="2" s="1"/>
  <c r="BJ139" i="2"/>
  <c r="BR139" i="2"/>
  <c r="BR25" i="2"/>
  <c r="DH25" i="2"/>
  <c r="BK13" i="2"/>
  <c r="BG13" i="2" s="1"/>
  <c r="EB14" i="2"/>
  <c r="BI17" i="2"/>
  <c r="BG17" i="2" s="1"/>
  <c r="G17" i="2"/>
  <c r="AG17" i="2" s="1"/>
  <c r="BF17" i="2" s="1"/>
  <c r="DG17" i="2"/>
  <c r="DE17" i="2" s="1"/>
  <c r="Q138" i="2"/>
  <c r="BO26" i="2"/>
  <c r="DM26" i="2"/>
  <c r="G26" i="2"/>
  <c r="EE26" i="2" s="1"/>
  <c r="AS138" i="2"/>
  <c r="AS141" i="2" s="1"/>
  <c r="AS51" i="2"/>
  <c r="AS132" i="2" s="1"/>
  <c r="CP138" i="2"/>
  <c r="CP141" i="2" s="1"/>
  <c r="CP51" i="2"/>
  <c r="CP132" i="2" s="1"/>
  <c r="AF138" i="2"/>
  <c r="CD28" i="2"/>
  <c r="AF51" i="2"/>
  <c r="CY138" i="2"/>
  <c r="DX30" i="2"/>
  <c r="DX138" i="2" s="1"/>
  <c r="CY51" i="2"/>
  <c r="CD37" i="2"/>
  <c r="AH37" i="2"/>
  <c r="DW48" i="2"/>
  <c r="CF48" i="2"/>
  <c r="EF48" i="2" s="1"/>
  <c r="BE51" i="2"/>
  <c r="BI77" i="2"/>
  <c r="BG77" i="2" s="1"/>
  <c r="G77" i="2"/>
  <c r="EE77" i="2" s="1"/>
  <c r="DG77" i="2"/>
  <c r="DE77" i="2" s="1"/>
  <c r="BN136" i="2"/>
  <c r="BN98" i="2"/>
  <c r="BV136" i="2"/>
  <c r="BV98" i="2"/>
  <c r="AH125" i="2"/>
  <c r="BI125" i="2"/>
  <c r="AY25" i="2"/>
  <c r="BL137" i="2"/>
  <c r="BT137" i="2"/>
  <c r="CB137" i="2"/>
  <c r="AH14" i="2"/>
  <c r="BI14" i="2"/>
  <c r="DG23" i="2"/>
  <c r="G23" i="2"/>
  <c r="BI23" i="2"/>
  <c r="CR139" i="2"/>
  <c r="CR25" i="2"/>
  <c r="DQ24" i="2"/>
  <c r="Z132" i="2"/>
  <c r="BT25" i="2"/>
  <c r="BQ26" i="2"/>
  <c r="DK138" i="2"/>
  <c r="DK51" i="2"/>
  <c r="CA51" i="2"/>
  <c r="CE33" i="2"/>
  <c r="DD33" i="2" s="1"/>
  <c r="AH47" i="2"/>
  <c r="BI47" i="2"/>
  <c r="BS50" i="2"/>
  <c r="DQ50" i="2"/>
  <c r="DQ51" i="2" s="1"/>
  <c r="DL78" i="2"/>
  <c r="CF58" i="2"/>
  <c r="EF58" i="2" s="1"/>
  <c r="DG58" i="2"/>
  <c r="DE58" i="2" s="1"/>
  <c r="DW62" i="2"/>
  <c r="G62" i="2"/>
  <c r="EE62" i="2" s="1"/>
  <c r="BY62" i="2"/>
  <c r="DF81" i="2"/>
  <c r="DE81" i="2" s="1"/>
  <c r="CF81" i="2"/>
  <c r="EF81" i="2" s="1"/>
  <c r="I82" i="2"/>
  <c r="AG82" i="2"/>
  <c r="BF82" i="2" s="1"/>
  <c r="DR139" i="2"/>
  <c r="DR25" i="2"/>
  <c r="CH139" i="2"/>
  <c r="CF7" i="2"/>
  <c r="CH25" i="2"/>
  <c r="DG7" i="2"/>
  <c r="DV10" i="2"/>
  <c r="CF10" i="2"/>
  <c r="DF25" i="2"/>
  <c r="DY138" i="2"/>
  <c r="DY51" i="2"/>
  <c r="DM28" i="2"/>
  <c r="G28" i="2"/>
  <c r="EE28" i="2" s="1"/>
  <c r="BE139" i="2"/>
  <c r="DC139" i="2"/>
  <c r="DM139" i="2"/>
  <c r="DM25" i="2"/>
  <c r="DU139" i="2"/>
  <c r="AG11" i="2"/>
  <c r="BF11" i="2" s="1"/>
  <c r="BH137" i="2"/>
  <c r="DN137" i="2"/>
  <c r="CF14" i="2"/>
  <c r="U139" i="2"/>
  <c r="G19" i="2"/>
  <c r="BS19" i="2"/>
  <c r="BG19" i="2" s="1"/>
  <c r="DE21" i="2"/>
  <c r="V132" i="2"/>
  <c r="BJ25" i="2"/>
  <c r="DK25" i="2"/>
  <c r="AP138" i="2"/>
  <c r="AH26" i="2"/>
  <c r="AP51" i="2"/>
  <c r="BK138" i="2"/>
  <c r="BK51" i="2"/>
  <c r="BU138" i="2"/>
  <c r="BU51" i="2"/>
  <c r="AJ138" i="2"/>
  <c r="BI27" i="2"/>
  <c r="BG27" i="2" s="1"/>
  <c r="AJ51" i="2"/>
  <c r="AH27" i="2"/>
  <c r="DJ51" i="2"/>
  <c r="EB28" i="2"/>
  <c r="I44" i="2"/>
  <c r="Q51" i="2"/>
  <c r="BK140" i="2"/>
  <c r="BK78" i="2"/>
  <c r="BS140" i="2"/>
  <c r="BS78" i="2"/>
  <c r="CA140" i="2"/>
  <c r="CA78" i="2"/>
  <c r="DJ139" i="2"/>
  <c r="DJ25" i="2"/>
  <c r="M137" i="2"/>
  <c r="M25" i="2"/>
  <c r="DI13" i="2"/>
  <c r="DI137" i="2" s="1"/>
  <c r="AJ139" i="2"/>
  <c r="AJ25" i="2"/>
  <c r="AH7" i="2"/>
  <c r="CW139" i="2"/>
  <c r="DV9" i="2"/>
  <c r="BT138" i="2"/>
  <c r="BT51" i="2"/>
  <c r="CC138" i="2"/>
  <c r="CC51" i="2"/>
  <c r="CH51" i="2"/>
  <c r="AG60" i="2"/>
  <c r="BF60" i="2" s="1"/>
  <c r="DG61" i="2"/>
  <c r="BI61" i="2"/>
  <c r="G61" i="2"/>
  <c r="EE61" i="2" s="1"/>
  <c r="BH25" i="2"/>
  <c r="BP25" i="2"/>
  <c r="DN139" i="2"/>
  <c r="BI8" i="2"/>
  <c r="BG8" i="2" s="1"/>
  <c r="G8" i="2"/>
  <c r="DG9" i="2"/>
  <c r="CE11" i="2"/>
  <c r="DD11" i="2" s="1"/>
  <c r="BQ137" i="2"/>
  <c r="DF137" i="2"/>
  <c r="DO137" i="2"/>
  <c r="DW137" i="2"/>
  <c r="CH137" i="2"/>
  <c r="I16" i="2"/>
  <c r="DQ19" i="2"/>
  <c r="DE19" i="2" s="1"/>
  <c r="N132" i="2"/>
  <c r="BL25" i="2"/>
  <c r="BL138" i="2"/>
  <c r="BL51" i="2"/>
  <c r="DH138" i="2"/>
  <c r="BP30" i="2"/>
  <c r="DM34" i="2"/>
  <c r="DE34" i="2" s="1"/>
  <c r="EB41" i="2"/>
  <c r="G41" i="2"/>
  <c r="EE41" i="2" s="1"/>
  <c r="CD41" i="2"/>
  <c r="AZ51" i="2"/>
  <c r="CD49" i="2"/>
  <c r="G49" i="2"/>
  <c r="EE49" i="2" s="1"/>
  <c r="EB49" i="2"/>
  <c r="DM49" i="2"/>
  <c r="CF49" i="2"/>
  <c r="EF49" i="2" s="1"/>
  <c r="H51" i="2"/>
  <c r="AF139" i="2"/>
  <c r="CD7" i="2"/>
  <c r="AF25" i="2"/>
  <c r="EB7" i="2"/>
  <c r="CB139" i="2"/>
  <c r="CB25" i="2"/>
  <c r="DZ139" i="2"/>
  <c r="DZ25" i="2"/>
  <c r="CU138" i="2"/>
  <c r="CU141" i="2" s="1"/>
  <c r="CU51" i="2"/>
  <c r="CU132" i="2" s="1"/>
  <c r="BM139" i="2"/>
  <c r="BM25" i="2"/>
  <c r="BV25" i="2"/>
  <c r="I10" i="2"/>
  <c r="CE13" i="2"/>
  <c r="DD13" i="2" s="1"/>
  <c r="I39" i="2"/>
  <c r="G7" i="2"/>
  <c r="BI7" i="2"/>
  <c r="BQ139" i="2"/>
  <c r="BQ25" i="2"/>
  <c r="BY25" i="2"/>
  <c r="DF139" i="2"/>
  <c r="BG11" i="2"/>
  <c r="U137" i="2"/>
  <c r="U25" i="2"/>
  <c r="DQ14" i="2"/>
  <c r="DQ137" i="2" s="1"/>
  <c r="BS14" i="2"/>
  <c r="BS137" i="2" s="1"/>
  <c r="G14" i="2"/>
  <c r="AH18" i="2"/>
  <c r="CF24" i="2"/>
  <c r="EF24" i="2" s="1"/>
  <c r="DN25" i="2"/>
  <c r="CO138" i="2"/>
  <c r="CO141" i="2" s="1"/>
  <c r="CO51" i="2"/>
  <c r="CO132" i="2" s="1"/>
  <c r="DI138" i="2"/>
  <c r="DI51" i="2"/>
  <c r="DT26" i="2"/>
  <c r="BO28" i="2"/>
  <c r="CX138" i="2"/>
  <c r="CX51" i="2"/>
  <c r="AR51" i="2"/>
  <c r="AR132" i="2" s="1"/>
  <c r="EB72" i="2"/>
  <c r="CD72" i="2"/>
  <c r="CG135" i="2"/>
  <c r="CF120" i="2"/>
  <c r="EF120" i="2" s="1"/>
  <c r="DF120" i="2"/>
  <c r="DM29" i="2"/>
  <c r="DE29" i="2" s="1"/>
  <c r="BO29" i="2"/>
  <c r="BG29" i="2" s="1"/>
  <c r="CF36" i="2"/>
  <c r="EF36" i="2" s="1"/>
  <c r="DG36" i="2"/>
  <c r="DM40" i="2"/>
  <c r="DE40" i="2" s="1"/>
  <c r="BY43" i="2"/>
  <c r="BC138" i="2"/>
  <c r="BC141" i="2" s="1"/>
  <c r="BC51" i="2"/>
  <c r="BC132" i="2" s="1"/>
  <c r="DG45" i="2"/>
  <c r="CF45" i="2"/>
  <c r="EF45" i="2" s="1"/>
  <c r="K138" i="2"/>
  <c r="K51" i="2"/>
  <c r="DG46" i="2"/>
  <c r="DE46" i="2" s="1"/>
  <c r="G46" i="2"/>
  <c r="EE46" i="2" s="1"/>
  <c r="DO78" i="2"/>
  <c r="AA78" i="2"/>
  <c r="DW53" i="2"/>
  <c r="I66" i="2"/>
  <c r="AG70" i="2"/>
  <c r="BF70" i="2" s="1"/>
  <c r="DG74" i="2"/>
  <c r="G74" i="2"/>
  <c r="EE74" i="2" s="1"/>
  <c r="BI74" i="2"/>
  <c r="AI136" i="2"/>
  <c r="AI98" i="2"/>
  <c r="AH79" i="2"/>
  <c r="CG136" i="2"/>
  <c r="CH136" i="2"/>
  <c r="DG96" i="2"/>
  <c r="DG98" i="2" s="1"/>
  <c r="CH98" i="2"/>
  <c r="AH97" i="2"/>
  <c r="BH97" i="2"/>
  <c r="BG97" i="2" s="1"/>
  <c r="AH127" i="2"/>
  <c r="BI127" i="2"/>
  <c r="BK139" i="2"/>
  <c r="CA139" i="2"/>
  <c r="CA25" i="2"/>
  <c r="DL139" i="2"/>
  <c r="DT139" i="2"/>
  <c r="BX9" i="2"/>
  <c r="BX25" i="2" s="1"/>
  <c r="BJ137" i="2"/>
  <c r="BR137" i="2"/>
  <c r="BZ137" i="2"/>
  <c r="DM137" i="2"/>
  <c r="DU137" i="2"/>
  <c r="AQ138" i="2"/>
  <c r="AQ141" i="2" s="1"/>
  <c r="AQ51" i="2"/>
  <c r="AQ132" i="2" s="1"/>
  <c r="BJ138" i="2"/>
  <c r="CA138" i="2"/>
  <c r="DS138" i="2"/>
  <c r="DS51" i="2"/>
  <c r="EA138" i="2"/>
  <c r="EA51" i="2"/>
  <c r="AH30" i="2"/>
  <c r="G35" i="2"/>
  <c r="EE35" i="2" s="1"/>
  <c r="DM37" i="2"/>
  <c r="DM41" i="2"/>
  <c r="BO41" i="2"/>
  <c r="AH43" i="2"/>
  <c r="BO49" i="2"/>
  <c r="AH49" i="2"/>
  <c r="DM50" i="2"/>
  <c r="BI58" i="2"/>
  <c r="BG58" i="2" s="1"/>
  <c r="DW59" i="2"/>
  <c r="G59" i="2"/>
  <c r="EE59" i="2" s="1"/>
  <c r="BY59" i="2"/>
  <c r="AH63" i="2"/>
  <c r="G64" i="2"/>
  <c r="EE64" i="2" s="1"/>
  <c r="BY64" i="2"/>
  <c r="DW64" i="2"/>
  <c r="DG67" i="2"/>
  <c r="CF67" i="2"/>
  <c r="EF67" i="2" s="1"/>
  <c r="BO98" i="2"/>
  <c r="I81" i="2"/>
  <c r="BV135" i="2"/>
  <c r="CE112" i="2"/>
  <c r="DD112" i="2" s="1"/>
  <c r="CH138" i="2"/>
  <c r="BN139" i="2"/>
  <c r="BV139" i="2"/>
  <c r="DO139" i="2"/>
  <c r="DO25" i="2"/>
  <c r="DW25" i="2"/>
  <c r="BM137" i="2"/>
  <c r="BU137" i="2"/>
  <c r="CC137" i="2"/>
  <c r="DH137" i="2"/>
  <c r="DP137" i="2"/>
  <c r="DX137" i="2"/>
  <c r="K137" i="2"/>
  <c r="AA25" i="2"/>
  <c r="R138" i="2"/>
  <c r="DN26" i="2"/>
  <c r="BP26" i="2"/>
  <c r="BM138" i="2"/>
  <c r="BM51" i="2"/>
  <c r="BV26" i="2"/>
  <c r="DV51" i="2"/>
  <c r="BZ35" i="2"/>
  <c r="BO39" i="2"/>
  <c r="DW43" i="2"/>
  <c r="DM45" i="2"/>
  <c r="G45" i="2"/>
  <c r="EE45" i="2" s="1"/>
  <c r="I47" i="2"/>
  <c r="CD48" i="2"/>
  <c r="CH140" i="2"/>
  <c r="CF52" i="2"/>
  <c r="EF52" i="2" s="1"/>
  <c r="CH78" i="2"/>
  <c r="H78" i="2"/>
  <c r="BA140" i="2"/>
  <c r="BA78" i="2"/>
  <c r="AH57" i="2"/>
  <c r="BI57" i="2"/>
  <c r="CE66" i="2"/>
  <c r="DD66" i="2" s="1"/>
  <c r="DW71" i="2"/>
  <c r="BY71" i="2"/>
  <c r="DQ136" i="2"/>
  <c r="DQ98" i="2"/>
  <c r="DZ136" i="2"/>
  <c r="DZ98" i="2"/>
  <c r="CX88" i="2"/>
  <c r="CX136" i="2" s="1"/>
  <c r="DY88" i="2"/>
  <c r="BQ135" i="2"/>
  <c r="AG113" i="2"/>
  <c r="BF113" i="2" s="1"/>
  <c r="BO140" i="2"/>
  <c r="BO78" i="2"/>
  <c r="I76" i="2"/>
  <c r="DR78" i="2"/>
  <c r="AH81" i="2"/>
  <c r="CA81" i="2"/>
  <c r="BG81" i="2" s="1"/>
  <c r="DK134" i="2"/>
  <c r="DK130" i="2"/>
  <c r="K139" i="2"/>
  <c r="BO139" i="2"/>
  <c r="BW139" i="2"/>
  <c r="DH139" i="2"/>
  <c r="DP139" i="2"/>
  <c r="BN137" i="2"/>
  <c r="BV137" i="2"/>
  <c r="DY137" i="2"/>
  <c r="BK14" i="2"/>
  <c r="DG16" i="2"/>
  <c r="DX18" i="2"/>
  <c r="AB25" i="2"/>
  <c r="S138" i="2"/>
  <c r="S51" i="2"/>
  <c r="BN138" i="2"/>
  <c r="DO26" i="2"/>
  <c r="DO28" i="2"/>
  <c r="G30" i="2"/>
  <c r="EE30" i="2" s="1"/>
  <c r="I31" i="2"/>
  <c r="DM31" i="2"/>
  <c r="DE31" i="2" s="1"/>
  <c r="DE32" i="2"/>
  <c r="AA138" i="2"/>
  <c r="AA51" i="2"/>
  <c r="BO37" i="2"/>
  <c r="BO40" i="2"/>
  <c r="BG40" i="2" s="1"/>
  <c r="DM42" i="2"/>
  <c r="DE42" i="2" s="1"/>
  <c r="CF42" i="2"/>
  <c r="EF42" i="2" s="1"/>
  <c r="CD44" i="2"/>
  <c r="EB44" i="2"/>
  <c r="CB44" i="2"/>
  <c r="CB51" i="2" s="1"/>
  <c r="EB48" i="2"/>
  <c r="G50" i="2"/>
  <c r="EE50" i="2" s="1"/>
  <c r="CF50" i="2"/>
  <c r="EF50" i="2" s="1"/>
  <c r="BJ51" i="2"/>
  <c r="K140" i="2"/>
  <c r="K78" i="2"/>
  <c r="DG52" i="2"/>
  <c r="G52" i="2"/>
  <c r="EE52" i="2" s="1"/>
  <c r="BI52" i="2"/>
  <c r="DL140" i="2"/>
  <c r="DT140" i="2"/>
  <c r="DT78" i="2"/>
  <c r="CX140" i="2"/>
  <c r="CX78" i="2"/>
  <c r="BI56" i="2"/>
  <c r="CF56" i="2"/>
  <c r="EF56" i="2" s="1"/>
  <c r="CF61" i="2"/>
  <c r="EF61" i="2" s="1"/>
  <c r="AG71" i="2"/>
  <c r="BF71" i="2" s="1"/>
  <c r="J136" i="2"/>
  <c r="J98" i="2"/>
  <c r="J132" i="2" s="1"/>
  <c r="G79" i="2"/>
  <c r="EE79" i="2" s="1"/>
  <c r="BH79" i="2"/>
  <c r="DF79" i="2"/>
  <c r="BL136" i="2"/>
  <c r="BL98" i="2"/>
  <c r="BT136" i="2"/>
  <c r="BT98" i="2"/>
  <c r="CC136" i="2"/>
  <c r="CC98" i="2"/>
  <c r="DR130" i="2"/>
  <c r="S135" i="2"/>
  <c r="DO104" i="2"/>
  <c r="DO135" i="2" s="1"/>
  <c r="S130" i="2"/>
  <c r="G104" i="2"/>
  <c r="EE104" i="2" s="1"/>
  <c r="BR135" i="2"/>
  <c r="BZ135" i="2"/>
  <c r="CD114" i="2"/>
  <c r="G114" i="2"/>
  <c r="EE114" i="2" s="1"/>
  <c r="EB114" i="2"/>
  <c r="DJ140" i="2"/>
  <c r="DJ78" i="2"/>
  <c r="DZ140" i="2"/>
  <c r="DZ78" i="2"/>
  <c r="BH139" i="2"/>
  <c r="BP139" i="2"/>
  <c r="DI139" i="2"/>
  <c r="DY139" i="2"/>
  <c r="AY139" i="2"/>
  <c r="BO137" i="2"/>
  <c r="BW137" i="2"/>
  <c r="DJ137" i="2"/>
  <c r="DR137" i="2"/>
  <c r="DZ137" i="2"/>
  <c r="AY137" i="2"/>
  <c r="CW137" i="2"/>
  <c r="CJ25" i="2"/>
  <c r="CN138" i="2"/>
  <c r="CN51" i="2"/>
  <c r="CF26" i="2"/>
  <c r="EF26" i="2" s="1"/>
  <c r="DP138" i="2"/>
  <c r="BE138" i="2"/>
  <c r="G29" i="2"/>
  <c r="CF37" i="2"/>
  <c r="EF37" i="2" s="1"/>
  <c r="EB39" i="2"/>
  <c r="CF40" i="2"/>
  <c r="EF40" i="2" s="1"/>
  <c r="AH44" i="2"/>
  <c r="BI46" i="2"/>
  <c r="BG46" i="2" s="1"/>
  <c r="BN51" i="2"/>
  <c r="BJ140" i="2"/>
  <c r="BJ78" i="2"/>
  <c r="BR140" i="2"/>
  <c r="BR78" i="2"/>
  <c r="DM140" i="2"/>
  <c r="DM78" i="2"/>
  <c r="BH78" i="2"/>
  <c r="BP78" i="2"/>
  <c r="BX78" i="2"/>
  <c r="CY140" i="2"/>
  <c r="CY78" i="2"/>
  <c r="AG58" i="2"/>
  <c r="BF58" i="2" s="1"/>
  <c r="I67" i="2"/>
  <c r="BI69" i="2"/>
  <c r="G69" i="2"/>
  <c r="DG69" i="2"/>
  <c r="DS98" i="2"/>
  <c r="I85" i="2"/>
  <c r="CA88" i="2"/>
  <c r="AH88" i="2"/>
  <c r="CD115" i="2"/>
  <c r="BG115" i="2" s="1"/>
  <c r="EB115" i="2"/>
  <c r="G115" i="2"/>
  <c r="EE115" i="2" s="1"/>
  <c r="BI124" i="2"/>
  <c r="G124" i="2"/>
  <c r="EE124" i="2" s="1"/>
  <c r="DG124" i="2"/>
  <c r="CQ138" i="2"/>
  <c r="CQ141" i="2" s="1"/>
  <c r="DJ138" i="2"/>
  <c r="DR138" i="2"/>
  <c r="BA138" i="2"/>
  <c r="EB50" i="2"/>
  <c r="DG50" i="2"/>
  <c r="CQ51" i="2"/>
  <c r="CQ132" i="2" s="1"/>
  <c r="DR51" i="2"/>
  <c r="AF140" i="2"/>
  <c r="AF78" i="2"/>
  <c r="BQ140" i="2"/>
  <c r="BQ78" i="2"/>
  <c r="DC140" i="2"/>
  <c r="DC78" i="2"/>
  <c r="DK140" i="2"/>
  <c r="DK78" i="2"/>
  <c r="DS140" i="2"/>
  <c r="DS78" i="2"/>
  <c r="EA140" i="2"/>
  <c r="G55" i="2"/>
  <c r="BI60" i="2"/>
  <c r="BG60" i="2" s="1"/>
  <c r="DW61" i="2"/>
  <c r="BI73" i="2"/>
  <c r="BM136" i="2"/>
  <c r="BM98" i="2"/>
  <c r="BU136" i="2"/>
  <c r="BU98" i="2"/>
  <c r="DJ136" i="2"/>
  <c r="DJ98" i="2"/>
  <c r="DR136" i="2"/>
  <c r="DO98" i="2"/>
  <c r="AZ136" i="2"/>
  <c r="AZ98" i="2"/>
  <c r="DI102" i="2"/>
  <c r="BK102" i="2"/>
  <c r="DP135" i="2"/>
  <c r="DS135" i="2"/>
  <c r="DL115" i="2"/>
  <c r="CF115" i="2"/>
  <c r="EF115" i="2" s="1"/>
  <c r="CF121" i="2"/>
  <c r="EF121" i="2" s="1"/>
  <c r="DG122" i="2"/>
  <c r="DE122" i="2" s="1"/>
  <c r="G122" i="2"/>
  <c r="BI122" i="2"/>
  <c r="BG122" i="2" s="1"/>
  <c r="BI44" i="2"/>
  <c r="U138" i="2"/>
  <c r="BS45" i="2"/>
  <c r="AT51" i="2"/>
  <c r="AJ140" i="2"/>
  <c r="AJ78" i="2"/>
  <c r="BL140" i="2"/>
  <c r="BT140" i="2"/>
  <c r="BT78" i="2"/>
  <c r="CB140" i="2"/>
  <c r="CB78" i="2"/>
  <c r="DF140" i="2"/>
  <c r="DN140" i="2"/>
  <c r="DN78" i="2"/>
  <c r="DV140" i="2"/>
  <c r="DV78" i="2"/>
  <c r="AB140" i="2"/>
  <c r="AB141" i="2" s="1"/>
  <c r="AB78" i="2"/>
  <c r="DX56" i="2"/>
  <c r="CF57" i="2"/>
  <c r="EF57" i="2" s="1"/>
  <c r="BI63" i="2"/>
  <c r="G63" i="2"/>
  <c r="EE63" i="2" s="1"/>
  <c r="Y140" i="2"/>
  <c r="Y141" i="2" s="1"/>
  <c r="DU67" i="2"/>
  <c r="EB68" i="2"/>
  <c r="BY69" i="2"/>
  <c r="BI71" i="2"/>
  <c r="BG71" i="2" s="1"/>
  <c r="DW73" i="2"/>
  <c r="G73" i="2"/>
  <c r="EE73" i="2" s="1"/>
  <c r="BB136" i="2"/>
  <c r="BB98" i="2"/>
  <c r="CA79" i="2"/>
  <c r="CZ98" i="2"/>
  <c r="CZ132" i="2" s="1"/>
  <c r="G84" i="2"/>
  <c r="EE84" i="2" s="1"/>
  <c r="DW94" i="2"/>
  <c r="CF94" i="2"/>
  <c r="EF94" i="2" s="1"/>
  <c r="CE95" i="2"/>
  <c r="DD95" i="2" s="1"/>
  <c r="CD116" i="2"/>
  <c r="EB116" i="2"/>
  <c r="BH138" i="2"/>
  <c r="BX138" i="2"/>
  <c r="DF138" i="2"/>
  <c r="DV138" i="2"/>
  <c r="DC138" i="2"/>
  <c r="DC51" i="2"/>
  <c r="AZ138" i="2"/>
  <c r="U51" i="2"/>
  <c r="BE140" i="2"/>
  <c r="BE78" i="2"/>
  <c r="BU140" i="2"/>
  <c r="BU78" i="2"/>
  <c r="CC140" i="2"/>
  <c r="CC78" i="2"/>
  <c r="DO140" i="2"/>
  <c r="AZ140" i="2"/>
  <c r="CF59" i="2"/>
  <c r="EF59" i="2" s="1"/>
  <c r="DG59" i="2"/>
  <c r="BY63" i="2"/>
  <c r="CF64" i="2"/>
  <c r="EF64" i="2" s="1"/>
  <c r="DG64" i="2"/>
  <c r="CL78" i="2"/>
  <c r="CL132" i="2" s="1"/>
  <c r="DN136" i="2"/>
  <c r="DN98" i="2"/>
  <c r="G80" i="2"/>
  <c r="EE80" i="2" s="1"/>
  <c r="BY80" i="2"/>
  <c r="BG80" i="2" s="1"/>
  <c r="CE82" i="2"/>
  <c r="DD82" i="2" s="1"/>
  <c r="DF84" i="2"/>
  <c r="DW84" i="2"/>
  <c r="AH85" i="2"/>
  <c r="AH87" i="2"/>
  <c r="CF87" i="2"/>
  <c r="EF87" i="2" s="1"/>
  <c r="DY87" i="2"/>
  <c r="DE87" i="2" s="1"/>
  <c r="AG95" i="2"/>
  <c r="BF95" i="2" s="1"/>
  <c r="CM135" i="2"/>
  <c r="CM141" i="2" s="1"/>
  <c r="CF114" i="2"/>
  <c r="EF114" i="2" s="1"/>
  <c r="DL114" i="2"/>
  <c r="DG119" i="2"/>
  <c r="CF119" i="2"/>
  <c r="EF119" i="2" s="1"/>
  <c r="DF51" i="2"/>
  <c r="BN140" i="2"/>
  <c r="BV140" i="2"/>
  <c r="DH140" i="2"/>
  <c r="DH78" i="2"/>
  <c r="DP140" i="2"/>
  <c r="DE60" i="2"/>
  <c r="AH64" i="2"/>
  <c r="BI64" i="2"/>
  <c r="I70" i="2"/>
  <c r="DG71" i="2"/>
  <c r="G72" i="2"/>
  <c r="EE72" i="2" s="1"/>
  <c r="BY72" i="2"/>
  <c r="Y78" i="2"/>
  <c r="DF78" i="2"/>
  <c r="EA78" i="2"/>
  <c r="BR136" i="2"/>
  <c r="BR98" i="2"/>
  <c r="BZ136" i="2"/>
  <c r="BZ98" i="2"/>
  <c r="CF80" i="2"/>
  <c r="EF80" i="2" s="1"/>
  <c r="DY80" i="2"/>
  <c r="DE80" i="2" s="1"/>
  <c r="BG82" i="2"/>
  <c r="DE82" i="2"/>
  <c r="DV93" i="2"/>
  <c r="CF93" i="2"/>
  <c r="EF93" i="2" s="1"/>
  <c r="G94" i="2"/>
  <c r="EE94" i="2" s="1"/>
  <c r="DF94" i="2"/>
  <c r="BH94" i="2"/>
  <c r="DZ134" i="2"/>
  <c r="CD106" i="2"/>
  <c r="EB106" i="2"/>
  <c r="BI110" i="2"/>
  <c r="G110" i="2"/>
  <c r="EE110" i="2" s="1"/>
  <c r="DG110" i="2"/>
  <c r="DA141" i="2"/>
  <c r="CD50" i="2"/>
  <c r="AA140" i="2"/>
  <c r="BH140" i="2"/>
  <c r="BP140" i="2"/>
  <c r="BX140" i="2"/>
  <c r="DI140" i="2"/>
  <c r="DI78" i="2"/>
  <c r="DQ140" i="2"/>
  <c r="DQ78" i="2"/>
  <c r="DY140" i="2"/>
  <c r="DY78" i="2"/>
  <c r="BZ57" i="2"/>
  <c r="BY61" i="2"/>
  <c r="AN140" i="2"/>
  <c r="AN141" i="2" s="1"/>
  <c r="BI70" i="2"/>
  <c r="BY70" i="2"/>
  <c r="AA136" i="2"/>
  <c r="CB136" i="2"/>
  <c r="DO136" i="2"/>
  <c r="DW79" i="2"/>
  <c r="DE83" i="2"/>
  <c r="AF136" i="2"/>
  <c r="G86" i="2"/>
  <c r="EE86" i="2" s="1"/>
  <c r="DW91" i="2"/>
  <c r="G97" i="2"/>
  <c r="DF97" i="2"/>
  <c r="DE97" i="2" s="1"/>
  <c r="BJ134" i="2"/>
  <c r="BJ130" i="2"/>
  <c r="BR134" i="2"/>
  <c r="CA134" i="2"/>
  <c r="CA130" i="2"/>
  <c r="DC134" i="2"/>
  <c r="DC130" i="2"/>
  <c r="K134" i="2"/>
  <c r="K130" i="2"/>
  <c r="BI102" i="2"/>
  <c r="G102" i="2"/>
  <c r="EE102" i="2" s="1"/>
  <c r="AL134" i="2"/>
  <c r="AL130" i="2"/>
  <c r="CJ130" i="2"/>
  <c r="CF102" i="2"/>
  <c r="EF102" i="2" s="1"/>
  <c r="CJ134" i="2"/>
  <c r="DN135" i="2"/>
  <c r="BI105" i="2"/>
  <c r="G105" i="2"/>
  <c r="EE105" i="2" s="1"/>
  <c r="U135" i="2"/>
  <c r="U130" i="2"/>
  <c r="DQ106" i="2"/>
  <c r="CR130" i="2"/>
  <c r="CR135" i="2"/>
  <c r="AH120" i="2"/>
  <c r="AI135" i="2"/>
  <c r="DE123" i="2"/>
  <c r="BR130" i="2"/>
  <c r="DB130" i="2"/>
  <c r="DB132" i="2" s="1"/>
  <c r="AH72" i="2"/>
  <c r="DK136" i="2"/>
  <c r="DK98" i="2"/>
  <c r="DS136" i="2"/>
  <c r="EA136" i="2"/>
  <c r="BG87" i="2"/>
  <c r="AH89" i="2"/>
  <c r="I91" i="2"/>
  <c r="CG98" i="2"/>
  <c r="BW134" i="2"/>
  <c r="BW130" i="2"/>
  <c r="CG134" i="2"/>
  <c r="CG130" i="2"/>
  <c r="DF99" i="2"/>
  <c r="DL134" i="2"/>
  <c r="V134" i="2"/>
  <c r="V141" i="2" s="1"/>
  <c r="BT102" i="2"/>
  <c r="BT134" i="2" s="1"/>
  <c r="DI106" i="2"/>
  <c r="CF106" i="2"/>
  <c r="EF106" i="2" s="1"/>
  <c r="CE113" i="2"/>
  <c r="DD113" i="2" s="1"/>
  <c r="EB113" i="2"/>
  <c r="DE113" i="2" s="1"/>
  <c r="CZ136" i="2"/>
  <c r="BP136" i="2"/>
  <c r="AH84" i="2"/>
  <c r="DC136" i="2"/>
  <c r="DC98" i="2"/>
  <c r="CF86" i="2"/>
  <c r="EF86" i="2" s="1"/>
  <c r="DV91" i="2"/>
  <c r="CF91" i="2"/>
  <c r="EF91" i="2" s="1"/>
  <c r="AL136" i="2"/>
  <c r="AL98" i="2"/>
  <c r="BP98" i="2"/>
  <c r="BO134" i="2"/>
  <c r="BX134" i="2"/>
  <c r="BX130" i="2"/>
  <c r="DM134" i="2"/>
  <c r="DM130" i="2"/>
  <c r="DU134" i="2"/>
  <c r="DU130" i="2"/>
  <c r="G101" i="2"/>
  <c r="EE101" i="2" s="1"/>
  <c r="CD101" i="2"/>
  <c r="BG101" i="2" s="1"/>
  <c r="AE141" i="2"/>
  <c r="BJ135" i="2"/>
  <c r="BT135" i="2"/>
  <c r="CB135" i="2"/>
  <c r="DJ135" i="2"/>
  <c r="DT135" i="2"/>
  <c r="G107" i="2"/>
  <c r="EE107" i="2" s="1"/>
  <c r="I120" i="2"/>
  <c r="CF124" i="2"/>
  <c r="EF124" i="2" s="1"/>
  <c r="DX124" i="2"/>
  <c r="AH76" i="2"/>
  <c r="BQ136" i="2"/>
  <c r="BQ98" i="2"/>
  <c r="DM98" i="2"/>
  <c r="DU136" i="2"/>
  <c r="DU98" i="2"/>
  <c r="AY136" i="2"/>
  <c r="AY98" i="2"/>
  <c r="EB86" i="2"/>
  <c r="BY91" i="2"/>
  <c r="BG91" i="2" s="1"/>
  <c r="I92" i="2"/>
  <c r="CF96" i="2"/>
  <c r="EF96" i="2" s="1"/>
  <c r="AJ98" i="2"/>
  <c r="M130" i="2"/>
  <c r="M134" i="2"/>
  <c r="CT134" i="2"/>
  <c r="CT141" i="2" s="1"/>
  <c r="CT130" i="2"/>
  <c r="CT132" i="2" s="1"/>
  <c r="BL135" i="2"/>
  <c r="BU135" i="2"/>
  <c r="DU135" i="2"/>
  <c r="AZ135" i="2"/>
  <c r="AH115" i="2"/>
  <c r="AA135" i="2"/>
  <c r="DW117" i="2"/>
  <c r="G117" i="2"/>
  <c r="EE117" i="2" s="1"/>
  <c r="BY117" i="2"/>
  <c r="BG117" i="2" s="1"/>
  <c r="DW119" i="2"/>
  <c r="AH126" i="2"/>
  <c r="G128" i="2"/>
  <c r="DG128" i="2"/>
  <c r="DE128" i="2" s="1"/>
  <c r="BI128" i="2"/>
  <c r="BG128" i="2" s="1"/>
  <c r="AA130" i="2"/>
  <c r="BH134" i="2"/>
  <c r="BK136" i="2"/>
  <c r="BS136" i="2"/>
  <c r="DL136" i="2"/>
  <c r="DT136" i="2"/>
  <c r="DW89" i="2"/>
  <c r="DE89" i="2" s="1"/>
  <c r="DH90" i="2"/>
  <c r="DE90" i="2" s="1"/>
  <c r="CF90" i="2"/>
  <c r="EF90" i="2" s="1"/>
  <c r="CI136" i="2"/>
  <c r="CI141" i="2" s="1"/>
  <c r="BX93" i="2"/>
  <c r="BG93" i="2" s="1"/>
  <c r="CA95" i="2"/>
  <c r="BG95" i="2" s="1"/>
  <c r="CI98" i="2"/>
  <c r="CI132" i="2" s="1"/>
  <c r="AF134" i="2"/>
  <c r="AF130" i="2"/>
  <c r="CD99" i="2"/>
  <c r="BQ130" i="2"/>
  <c r="DT130" i="2"/>
  <c r="EB99" i="2"/>
  <c r="BE134" i="2"/>
  <c r="R134" i="2"/>
  <c r="BP102" i="2"/>
  <c r="BP130" i="2" s="1"/>
  <c r="AZ130" i="2"/>
  <c r="CD102" i="2"/>
  <c r="BK103" i="2"/>
  <c r="BG103" i="2" s="1"/>
  <c r="AF135" i="2"/>
  <c r="DV135" i="2"/>
  <c r="AC135" i="2"/>
  <c r="AC141" i="2" s="1"/>
  <c r="AC130" i="2"/>
  <c r="CD107" i="2"/>
  <c r="EB107" i="2"/>
  <c r="BI116" i="2"/>
  <c r="CH130" i="2"/>
  <c r="CF117" i="2"/>
  <c r="EF117" i="2" s="1"/>
  <c r="DG121" i="2"/>
  <c r="DW121" i="2"/>
  <c r="BI123" i="2"/>
  <c r="BG123" i="2" s="1"/>
  <c r="AH123" i="2"/>
  <c r="CN130" i="2"/>
  <c r="AH92" i="2"/>
  <c r="BK98" i="2"/>
  <c r="DT98" i="2"/>
  <c r="AI130" i="2"/>
  <c r="BL130" i="2"/>
  <c r="BL134" i="2"/>
  <c r="BT130" i="2"/>
  <c r="CB130" i="2"/>
  <c r="CB134" i="2"/>
  <c r="DO134" i="2"/>
  <c r="DW134" i="2"/>
  <c r="CX134" i="2"/>
  <c r="CX130" i="2"/>
  <c r="EA102" i="2"/>
  <c r="EA134" i="2" s="1"/>
  <c r="DI103" i="2"/>
  <c r="BM135" i="2"/>
  <c r="DH135" i="2"/>
  <c r="AP135" i="2"/>
  <c r="AP130" i="2"/>
  <c r="BI108" i="2"/>
  <c r="G108" i="2"/>
  <c r="EE108" i="2" s="1"/>
  <c r="I118" i="2"/>
  <c r="AZ139" i="2"/>
  <c r="W141" i="2"/>
  <c r="BO136" i="2"/>
  <c r="BW136" i="2"/>
  <c r="DP136" i="2"/>
  <c r="DX136" i="2"/>
  <c r="CW136" i="2"/>
  <c r="I89" i="2"/>
  <c r="DL98" i="2"/>
  <c r="AM134" i="2"/>
  <c r="AM141" i="2" s="1"/>
  <c r="AM130" i="2"/>
  <c r="AM132" i="2" s="1"/>
  <c r="BM130" i="2"/>
  <c r="BM134" i="2"/>
  <c r="BU99" i="2"/>
  <c r="DG134" i="2"/>
  <c r="DP130" i="2"/>
  <c r="DX134" i="2"/>
  <c r="DE101" i="2"/>
  <c r="M135" i="2"/>
  <c r="BK104" i="2"/>
  <c r="BD130" i="2"/>
  <c r="BD132" i="2" s="1"/>
  <c r="BD135" i="2"/>
  <c r="BD141" i="2" s="1"/>
  <c r="DI104" i="2"/>
  <c r="DR135" i="2"/>
  <c r="DZ135" i="2"/>
  <c r="BB135" i="2"/>
  <c r="BB130" i="2"/>
  <c r="DG117" i="2"/>
  <c r="BA135" i="2"/>
  <c r="BA130" i="2"/>
  <c r="I125" i="2"/>
  <c r="DG126" i="2"/>
  <c r="BY127" i="2"/>
  <c r="G127" i="2"/>
  <c r="EE127" i="2" s="1"/>
  <c r="BQ134" i="2"/>
  <c r="DP134" i="2"/>
  <c r="BE136" i="2"/>
  <c r="BE98" i="2"/>
  <c r="EB96" i="2"/>
  <c r="BW98" i="2"/>
  <c r="BV130" i="2"/>
  <c r="DH130" i="2"/>
  <c r="DH134" i="2"/>
  <c r="DQ134" i="2"/>
  <c r="Q135" i="2"/>
  <c r="Q130" i="2"/>
  <c r="BO104" i="2"/>
  <c r="BE135" i="2"/>
  <c r="BP135" i="2"/>
  <c r="BX135" i="2"/>
  <c r="BZ125" i="2"/>
  <c r="CF129" i="2"/>
  <c r="EF129" i="2" s="1"/>
  <c r="DG129" i="2"/>
  <c r="AI134" i="2"/>
  <c r="DT134" i="2"/>
  <c r="BZ134" i="2"/>
  <c r="DJ99" i="2"/>
  <c r="DR134" i="2"/>
  <c r="K135" i="2"/>
  <c r="AL135" i="2"/>
  <c r="CA135" i="2"/>
  <c r="DC135" i="2"/>
  <c r="DK135" i="2"/>
  <c r="EA104" i="2"/>
  <c r="EA135" i="2" s="1"/>
  <c r="CH135" i="2"/>
  <c r="DZ130" i="2"/>
  <c r="CZ135" i="2"/>
  <c r="CD96" i="2"/>
  <c r="BN134" i="2"/>
  <c r="DN134" i="2"/>
  <c r="DV134" i="2"/>
  <c r="BW135" i="2"/>
  <c r="DG104" i="2"/>
  <c r="CF123" i="2"/>
  <c r="EF123" i="2" s="1"/>
  <c r="CY130" i="2"/>
  <c r="CX135" i="2"/>
  <c r="DV130" i="2"/>
  <c r="O141" i="2"/>
  <c r="X141" i="2"/>
  <c r="L141" i="2"/>
  <c r="L142" i="2" s="1"/>
  <c r="T141" i="2"/>
  <c r="AK141" i="2"/>
  <c r="BG10" i="1"/>
  <c r="EE10" i="1" s="1"/>
  <c r="AJ136" i="1"/>
  <c r="BI13" i="1"/>
  <c r="AH13" i="1"/>
  <c r="CE28" i="1"/>
  <c r="DD28" i="1" s="1"/>
  <c r="AZ137" i="1"/>
  <c r="AZ50" i="1"/>
  <c r="BY36" i="1"/>
  <c r="DW42" i="1"/>
  <c r="DE42" i="1" s="1"/>
  <c r="BY42" i="1"/>
  <c r="BQ24" i="1"/>
  <c r="BG7" i="1"/>
  <c r="EE7" i="1" s="1"/>
  <c r="AH8" i="1"/>
  <c r="BI8" i="1"/>
  <c r="AJ24" i="1"/>
  <c r="AG19" i="1"/>
  <c r="BF19" i="1" s="1"/>
  <c r="BG19" i="1"/>
  <c r="EE19" i="1" s="1"/>
  <c r="AH43" i="1"/>
  <c r="BI43" i="1"/>
  <c r="BJ24" i="1"/>
  <c r="BR24" i="1"/>
  <c r="DP138" i="1"/>
  <c r="DP24" i="1"/>
  <c r="AE138" i="1"/>
  <c r="AE24" i="1"/>
  <c r="AE131" i="1" s="1"/>
  <c r="G11" i="1"/>
  <c r="EA11" i="1"/>
  <c r="DE11" i="1" s="1"/>
  <c r="EF11" i="1" s="1"/>
  <c r="CC11" i="1"/>
  <c r="BG11" i="1" s="1"/>
  <c r="EE11" i="1" s="1"/>
  <c r="CR136" i="1"/>
  <c r="CR24" i="1"/>
  <c r="DQ13" i="1"/>
  <c r="BG22" i="1"/>
  <c r="ED23" i="1"/>
  <c r="I23" i="1"/>
  <c r="CF39" i="1"/>
  <c r="DG39" i="1"/>
  <c r="DE39" i="1" s="1"/>
  <c r="CR137" i="1"/>
  <c r="CR50" i="1"/>
  <c r="DQ49" i="1"/>
  <c r="K138" i="1"/>
  <c r="DG6" i="1"/>
  <c r="G6" i="1"/>
  <c r="K24" i="1"/>
  <c r="BI6" i="1"/>
  <c r="BG15" i="1"/>
  <c r="EE15" i="1" s="1"/>
  <c r="ED31" i="1"/>
  <c r="I31" i="1"/>
  <c r="AH39" i="1"/>
  <c r="BI39" i="1"/>
  <c r="AT137" i="1"/>
  <c r="AT50" i="1"/>
  <c r="BS49" i="1"/>
  <c r="I51" i="1"/>
  <c r="ED51" i="1"/>
  <c r="CC24" i="1"/>
  <c r="EF9" i="1"/>
  <c r="CL139" i="1"/>
  <c r="CL140" i="1" s="1"/>
  <c r="CL77" i="1"/>
  <c r="CL131" i="1" s="1"/>
  <c r="CF62" i="1"/>
  <c r="DK62" i="1"/>
  <c r="DK77" i="1" s="1"/>
  <c r="DK131" i="1" s="1"/>
  <c r="DH138" i="1"/>
  <c r="DH24" i="1"/>
  <c r="AG21" i="1"/>
  <c r="BF21" i="1" s="1"/>
  <c r="AG20" i="1"/>
  <c r="BF20" i="1" s="1"/>
  <c r="I20" i="1"/>
  <c r="BH137" i="1"/>
  <c r="BH50" i="1"/>
  <c r="BV24" i="1"/>
  <c r="DE10" i="1"/>
  <c r="EF10" i="1" s="1"/>
  <c r="DJ24" i="1"/>
  <c r="DE21" i="1"/>
  <c r="EF21" i="1" s="1"/>
  <c r="ED22" i="1"/>
  <c r="I22" i="1"/>
  <c r="BV137" i="1"/>
  <c r="DR50" i="1"/>
  <c r="CF60" i="1"/>
  <c r="CX77" i="1"/>
  <c r="DW60" i="1"/>
  <c r="CE7" i="1"/>
  <c r="DD7" i="1" s="1"/>
  <c r="AG7" i="1"/>
  <c r="BF7" i="1" s="1"/>
  <c r="ED7" i="1"/>
  <c r="I7" i="1"/>
  <c r="AH9" i="1"/>
  <c r="BX9" i="1"/>
  <c r="BO138" i="1"/>
  <c r="BW138" i="1"/>
  <c r="BW24" i="1"/>
  <c r="DM24" i="1"/>
  <c r="DU24" i="1"/>
  <c r="CE15" i="1"/>
  <c r="DD15" i="1" s="1"/>
  <c r="AB138" i="1"/>
  <c r="G17" i="1"/>
  <c r="AB24" i="1"/>
  <c r="BZ17" i="1"/>
  <c r="BG20" i="1"/>
  <c r="EE20" i="1" s="1"/>
  <c r="AH36" i="1"/>
  <c r="AJ50" i="1"/>
  <c r="DG59" i="1"/>
  <c r="G59" i="1"/>
  <c r="AG59" i="1" s="1"/>
  <c r="BF59" i="1" s="1"/>
  <c r="BI59" i="1"/>
  <c r="BG59" i="1" s="1"/>
  <c r="EE59" i="1" s="1"/>
  <c r="AY138" i="1"/>
  <c r="ED12" i="1"/>
  <c r="I12" i="1"/>
  <c r="DF136" i="1"/>
  <c r="CD35" i="1"/>
  <c r="BG35" i="1" s="1"/>
  <c r="AG38" i="1"/>
  <c r="BF38" i="1" s="1"/>
  <c r="DG43" i="1"/>
  <c r="CF43" i="1"/>
  <c r="DI77" i="1"/>
  <c r="CE59" i="1"/>
  <c r="DD59" i="1" s="1"/>
  <c r="G60" i="1"/>
  <c r="BI60" i="1"/>
  <c r="DG60" i="1"/>
  <c r="CF66" i="1"/>
  <c r="DG66" i="1"/>
  <c r="DX135" i="1"/>
  <c r="DX97" i="1"/>
  <c r="BY93" i="1"/>
  <c r="AH93" i="1"/>
  <c r="CA133" i="1"/>
  <c r="DZ138" i="1"/>
  <c r="CA136" i="1"/>
  <c r="EB13" i="1"/>
  <c r="EB24" i="1" s="1"/>
  <c r="CS131" i="1"/>
  <c r="DS137" i="1"/>
  <c r="DS50" i="1"/>
  <c r="EA137" i="1"/>
  <c r="EA50" i="1"/>
  <c r="AJ137" i="1"/>
  <c r="BI26" i="1"/>
  <c r="BG26" i="1" s="1"/>
  <c r="EE26" i="1" s="1"/>
  <c r="DO27" i="1"/>
  <c r="BQ27" i="1"/>
  <c r="ED30" i="1"/>
  <c r="I30" i="1"/>
  <c r="CE31" i="1"/>
  <c r="DD31" i="1" s="1"/>
  <c r="CE33" i="1"/>
  <c r="DD33" i="1" s="1"/>
  <c r="CE38" i="1"/>
  <c r="DD38" i="1" s="1"/>
  <c r="DG49" i="1"/>
  <c r="BI49" i="1"/>
  <c r="G49" i="1"/>
  <c r="CC77" i="1"/>
  <c r="DZ139" i="1"/>
  <c r="DZ77" i="1"/>
  <c r="CE65" i="1"/>
  <c r="DD65" i="1" s="1"/>
  <c r="DW73" i="1"/>
  <c r="DE73" i="1" s="1"/>
  <c r="EF73" i="1" s="1"/>
  <c r="I74" i="1"/>
  <c r="BG76" i="1"/>
  <c r="BZ97" i="1"/>
  <c r="AG86" i="1"/>
  <c r="BF86" i="1" s="1"/>
  <c r="ED86" i="1"/>
  <c r="DS138" i="1"/>
  <c r="ED10" i="1"/>
  <c r="BL136" i="1"/>
  <c r="I15" i="1"/>
  <c r="EF16" i="1"/>
  <c r="BU137" i="1"/>
  <c r="CU137" i="1"/>
  <c r="CU140" i="1" s="1"/>
  <c r="CU50" i="1"/>
  <c r="CU131" i="1" s="1"/>
  <c r="DT25" i="1"/>
  <c r="EB33" i="1"/>
  <c r="BU50" i="1"/>
  <c r="BN139" i="1"/>
  <c r="BN77" i="1"/>
  <c r="BV139" i="1"/>
  <c r="BV77" i="1"/>
  <c r="AG53" i="1"/>
  <c r="BF53" i="1" s="1"/>
  <c r="BA139" i="1"/>
  <c r="BA77" i="1"/>
  <c r="CY77" i="1"/>
  <c r="BS135" i="1"/>
  <c r="BS97" i="1"/>
  <c r="CB135" i="1"/>
  <c r="CB97" i="1"/>
  <c r="DJ135" i="1"/>
  <c r="DJ97" i="1"/>
  <c r="DR135" i="1"/>
  <c r="DR97" i="1"/>
  <c r="EA135" i="1"/>
  <c r="EA97" i="1"/>
  <c r="BN97" i="1"/>
  <c r="I86" i="1"/>
  <c r="BK138" i="1"/>
  <c r="CA138" i="1"/>
  <c r="DL138" i="1"/>
  <c r="DT138" i="1"/>
  <c r="BX8" i="1"/>
  <c r="BM136" i="1"/>
  <c r="BU136" i="1"/>
  <c r="CC136" i="1"/>
  <c r="DI12" i="1"/>
  <c r="DY136" i="1"/>
  <c r="BE136" i="1"/>
  <c r="CD13" i="1"/>
  <c r="CD136" i="1" s="1"/>
  <c r="DV13" i="1"/>
  <c r="K136" i="1"/>
  <c r="DG15" i="1"/>
  <c r="DE15" i="1" s="1"/>
  <c r="EF15" i="1" s="1"/>
  <c r="BI16" i="1"/>
  <c r="BG16" i="1" s="1"/>
  <c r="EE16" i="1" s="1"/>
  <c r="DQ18" i="1"/>
  <c r="DE18" i="1" s="1"/>
  <c r="EF18" i="1" s="1"/>
  <c r="M24" i="1"/>
  <c r="U24" i="1"/>
  <c r="AL24" i="1"/>
  <c r="AT24" i="1"/>
  <c r="DC24" i="1"/>
  <c r="R50" i="1"/>
  <c r="BR137" i="1"/>
  <c r="BR50" i="1"/>
  <c r="BL50" i="1"/>
  <c r="DL137" i="1"/>
  <c r="DL50" i="1"/>
  <c r="AF137" i="1"/>
  <c r="AF50" i="1"/>
  <c r="EB27" i="1"/>
  <c r="AG30" i="1"/>
  <c r="BF30" i="1" s="1"/>
  <c r="BG31" i="1"/>
  <c r="ED33" i="1"/>
  <c r="I35" i="1"/>
  <c r="ED38" i="1"/>
  <c r="CF41" i="1"/>
  <c r="U137" i="1"/>
  <c r="U50" i="1"/>
  <c r="G44" i="1"/>
  <c r="CE44" i="1" s="1"/>
  <c r="DD44" i="1" s="1"/>
  <c r="DQ44" i="1"/>
  <c r="BO45" i="1"/>
  <c r="AH45" i="1"/>
  <c r="AX137" i="1"/>
  <c r="BW46" i="1"/>
  <c r="BW137" i="1" s="1"/>
  <c r="AX50" i="1"/>
  <c r="DG46" i="1"/>
  <c r="CF46" i="1"/>
  <c r="I48" i="1"/>
  <c r="ED48" i="1"/>
  <c r="CN50" i="1"/>
  <c r="DA50" i="1"/>
  <c r="DA131" i="1" s="1"/>
  <c r="BO139" i="1"/>
  <c r="BO77" i="1"/>
  <c r="BW139" i="1"/>
  <c r="BW77" i="1"/>
  <c r="EF53" i="1"/>
  <c r="AG57" i="1"/>
  <c r="BF57" i="1" s="1"/>
  <c r="CE67" i="1"/>
  <c r="DD67" i="1" s="1"/>
  <c r="BI70" i="1"/>
  <c r="BG70" i="1" s="1"/>
  <c r="EE70" i="1" s="1"/>
  <c r="G70" i="1"/>
  <c r="DG70" i="1"/>
  <c r="DE70" i="1" s="1"/>
  <c r="EF70" i="1" s="1"/>
  <c r="CH77" i="1"/>
  <c r="BL135" i="1"/>
  <c r="BL97" i="1"/>
  <c r="BT97" i="1"/>
  <c r="BT135" i="1"/>
  <c r="CA84" i="1"/>
  <c r="BG84" i="1" s="1"/>
  <c r="AH84" i="1"/>
  <c r="I105" i="1"/>
  <c r="ED105" i="1"/>
  <c r="BH138" i="1"/>
  <c r="DI138" i="1"/>
  <c r="CR138" i="1"/>
  <c r="DQ23" i="1"/>
  <c r="DE23" i="1" s="1"/>
  <c r="BP24" i="1"/>
  <c r="ED36" i="1"/>
  <c r="I36" i="1"/>
  <c r="CD65" i="1"/>
  <c r="BG65" i="1" s="1"/>
  <c r="DP135" i="1"/>
  <c r="DP97" i="1"/>
  <c r="DR139" i="1"/>
  <c r="DR77" i="1"/>
  <c r="I57" i="1"/>
  <c r="BJ138" i="1"/>
  <c r="DK138" i="1"/>
  <c r="AG12" i="1"/>
  <c r="BF12" i="1" s="1"/>
  <c r="I13" i="1"/>
  <c r="L131" i="1"/>
  <c r="L141" i="1" s="1"/>
  <c r="BO40" i="1"/>
  <c r="G40" i="1"/>
  <c r="AG40" i="1" s="1"/>
  <c r="BF40" i="1" s="1"/>
  <c r="DM40" i="1"/>
  <c r="DE40" i="1" s="1"/>
  <c r="AJ138" i="1"/>
  <c r="BL138" i="1"/>
  <c r="BL24" i="1"/>
  <c r="BT138" i="1"/>
  <c r="BT24" i="1"/>
  <c r="CB138" i="1"/>
  <c r="CB24" i="1"/>
  <c r="DM138" i="1"/>
  <c r="DU138" i="1"/>
  <c r="BN136" i="1"/>
  <c r="BV136" i="1"/>
  <c r="DJ136" i="1"/>
  <c r="DR136" i="1"/>
  <c r="DZ136" i="1"/>
  <c r="CF13" i="1"/>
  <c r="DG13" i="1"/>
  <c r="G14" i="1"/>
  <c r="G16" i="1"/>
  <c r="AG16" i="1" s="1"/>
  <c r="BF16" i="1" s="1"/>
  <c r="DZ24" i="1"/>
  <c r="S137" i="1"/>
  <c r="S50" i="1"/>
  <c r="DO25" i="1"/>
  <c r="BQ25" i="1"/>
  <c r="AW137" i="1"/>
  <c r="AW140" i="1" s="1"/>
  <c r="BM137" i="1"/>
  <c r="BM50" i="1"/>
  <c r="DV50" i="1"/>
  <c r="DV137" i="1"/>
  <c r="BO39" i="1"/>
  <c r="G39" i="1"/>
  <c r="G47" i="1"/>
  <c r="BJ77" i="1"/>
  <c r="CA77" i="1"/>
  <c r="BI55" i="1"/>
  <c r="G55" i="1"/>
  <c r="DG55" i="1"/>
  <c r="DE57" i="1"/>
  <c r="DW58" i="1"/>
  <c r="BY58" i="1"/>
  <c r="AH63" i="1"/>
  <c r="BI63" i="1"/>
  <c r="DG75" i="1"/>
  <c r="G75" i="1"/>
  <c r="BI75" i="1"/>
  <c r="BM135" i="1"/>
  <c r="BM97" i="1"/>
  <c r="BU135" i="1"/>
  <c r="BU97" i="1"/>
  <c r="BV97" i="1"/>
  <c r="CF80" i="1"/>
  <c r="DF80" i="1"/>
  <c r="DE80" i="1" s="1"/>
  <c r="ED111" i="1"/>
  <c r="I111" i="1"/>
  <c r="DO135" i="1"/>
  <c r="DO97" i="1"/>
  <c r="BK13" i="1"/>
  <c r="BS18" i="1"/>
  <c r="AY24" i="1"/>
  <c r="AG52" i="1"/>
  <c r="BF52" i="1" s="1"/>
  <c r="EE76" i="1"/>
  <c r="AF138" i="1"/>
  <c r="AF24" i="1"/>
  <c r="DJ138" i="1"/>
  <c r="BK12" i="1"/>
  <c r="AY136" i="1"/>
  <c r="Q137" i="1"/>
  <c r="Q50" i="1"/>
  <c r="G25" i="1"/>
  <c r="BK50" i="1"/>
  <c r="CC137" i="1"/>
  <c r="CC50" i="1"/>
  <c r="DK137" i="1"/>
  <c r="DK50" i="1"/>
  <c r="BE138" i="1"/>
  <c r="BU138" i="1"/>
  <c r="DV138" i="1"/>
  <c r="CW138" i="1"/>
  <c r="BO136" i="1"/>
  <c r="BW136" i="1"/>
  <c r="CE12" i="1"/>
  <c r="DD12" i="1" s="1"/>
  <c r="DK136" i="1"/>
  <c r="DS136" i="1"/>
  <c r="BX13" i="1"/>
  <c r="BX136" i="1" s="1"/>
  <c r="W131" i="1"/>
  <c r="W141" i="1" s="1"/>
  <c r="CW24" i="1"/>
  <c r="X137" i="1"/>
  <c r="X140" i="1" s="1"/>
  <c r="X50" i="1"/>
  <c r="X131" i="1" s="1"/>
  <c r="BN137" i="1"/>
  <c r="BN50" i="1"/>
  <c r="BX137" i="1"/>
  <c r="BX50" i="1"/>
  <c r="CF25" i="1"/>
  <c r="DF137" i="1"/>
  <c r="DF50" i="1"/>
  <c r="AH27" i="1"/>
  <c r="DC137" i="1"/>
  <c r="DC50" i="1"/>
  <c r="CE30" i="1"/>
  <c r="DD30" i="1" s="1"/>
  <c r="G32" i="1"/>
  <c r="BO32" i="1"/>
  <c r="BG32" i="1" s="1"/>
  <c r="EE32" i="1" s="1"/>
  <c r="BO34" i="1"/>
  <c r="CD43" i="1"/>
  <c r="G43" i="1"/>
  <c r="AH44" i="1"/>
  <c r="CD47" i="1"/>
  <c r="CF49" i="1"/>
  <c r="K139" i="1"/>
  <c r="K77" i="1"/>
  <c r="DG51" i="1"/>
  <c r="BI51" i="1"/>
  <c r="BQ139" i="1"/>
  <c r="BK77" i="1"/>
  <c r="BS77" i="1"/>
  <c r="BY55" i="1"/>
  <c r="DW55" i="1"/>
  <c r="BI73" i="1"/>
  <c r="G73" i="1"/>
  <c r="DW75" i="1"/>
  <c r="BY75" i="1"/>
  <c r="ED78" i="1"/>
  <c r="CE87" i="1"/>
  <c r="DD87" i="1" s="1"/>
  <c r="CE109" i="1"/>
  <c r="DD109" i="1" s="1"/>
  <c r="CF117" i="1"/>
  <c r="DG117" i="1"/>
  <c r="G76" i="1"/>
  <c r="AG76" i="1" s="1"/>
  <c r="BF76" i="1" s="1"/>
  <c r="DG76" i="1"/>
  <c r="DE76" i="1" s="1"/>
  <c r="EF76" i="1" s="1"/>
  <c r="CE81" i="1"/>
  <c r="DD81" i="1" s="1"/>
  <c r="EF81" i="1"/>
  <c r="DY138" i="1"/>
  <c r="DY24" i="1"/>
  <c r="R131" i="1"/>
  <c r="DI50" i="1"/>
  <c r="CX137" i="1"/>
  <c r="CX50" i="1"/>
  <c r="DY77" i="1"/>
  <c r="I64" i="1"/>
  <c r="H77" i="1"/>
  <c r="H131" i="1" s="1"/>
  <c r="BI71" i="1"/>
  <c r="AH71" i="1"/>
  <c r="BY88" i="1"/>
  <c r="BG88" i="1" s="1"/>
  <c r="AH88" i="1"/>
  <c r="BQ138" i="1"/>
  <c r="BY6" i="1"/>
  <c r="DR138" i="1"/>
  <c r="AA24" i="1"/>
  <c r="BH24" i="1"/>
  <c r="DJ50" i="1"/>
  <c r="DJ139" i="1"/>
  <c r="DJ77" i="1"/>
  <c r="BR138" i="1"/>
  <c r="EA138" i="1"/>
  <c r="BT136" i="1"/>
  <c r="CB136" i="1"/>
  <c r="BE137" i="1"/>
  <c r="BO29" i="1"/>
  <c r="G37" i="1"/>
  <c r="AG37" i="1" s="1"/>
  <c r="BF37" i="1" s="1"/>
  <c r="DM37" i="1"/>
  <c r="BM138" i="1"/>
  <c r="CC138" i="1"/>
  <c r="DF138" i="1"/>
  <c r="DN138" i="1"/>
  <c r="EA136" i="1"/>
  <c r="BN138" i="1"/>
  <c r="BV138" i="1"/>
  <c r="CD6" i="1"/>
  <c r="DO138" i="1"/>
  <c r="DW6" i="1"/>
  <c r="BH136" i="1"/>
  <c r="BP136" i="1"/>
  <c r="DL136" i="1"/>
  <c r="DT136" i="1"/>
  <c r="CJ136" i="1"/>
  <c r="CJ24" i="1"/>
  <c r="DI13" i="1"/>
  <c r="DI24" i="1" s="1"/>
  <c r="CD17" i="1"/>
  <c r="G18" i="1"/>
  <c r="DG22" i="1"/>
  <c r="DE22" i="1" s="1"/>
  <c r="CF23" i="1"/>
  <c r="BE24" i="1"/>
  <c r="BN24" i="1"/>
  <c r="DF24" i="1"/>
  <c r="DR24" i="1"/>
  <c r="BO25" i="1"/>
  <c r="DM29" i="1"/>
  <c r="ED29" i="1"/>
  <c r="CD33" i="1"/>
  <c r="BG33" i="1" s="1"/>
  <c r="CD34" i="1"/>
  <c r="BG34" i="1" s="1"/>
  <c r="G34" i="1"/>
  <c r="CE34" i="1" s="1"/>
  <c r="DD34" i="1" s="1"/>
  <c r="EB34" i="1"/>
  <c r="DE34" i="1" s="1"/>
  <c r="BQ38" i="1"/>
  <c r="BO42" i="1"/>
  <c r="G42" i="1"/>
  <c r="DZ43" i="1"/>
  <c r="DZ137" i="1" s="1"/>
  <c r="AH47" i="1"/>
  <c r="BI47" i="1"/>
  <c r="AB139" i="1"/>
  <c r="BZ55" i="1"/>
  <c r="DX55" i="1"/>
  <c r="AB77" i="1"/>
  <c r="AH56" i="1"/>
  <c r="BI56" i="1"/>
  <c r="BQ77" i="1"/>
  <c r="I81" i="1"/>
  <c r="ED81" i="1"/>
  <c r="BJ136" i="1"/>
  <c r="BR136" i="1"/>
  <c r="BZ136" i="1"/>
  <c r="DM136" i="1"/>
  <c r="DU136" i="1"/>
  <c r="AP137" i="1"/>
  <c r="AP50" i="1"/>
  <c r="CN137" i="1"/>
  <c r="G27" i="1"/>
  <c r="AH31" i="1"/>
  <c r="DM36" i="1"/>
  <c r="G45" i="1"/>
  <c r="CE45" i="1" s="1"/>
  <c r="DD45" i="1" s="1"/>
  <c r="K50" i="1"/>
  <c r="K137" i="1"/>
  <c r="BS45" i="1"/>
  <c r="AH48" i="1"/>
  <c r="DM139" i="1"/>
  <c r="AZ139" i="1"/>
  <c r="AZ77" i="1"/>
  <c r="BY52" i="1"/>
  <c r="ED52" i="1"/>
  <c r="CF57" i="1"/>
  <c r="G63" i="1"/>
  <c r="CF63" i="1"/>
  <c r="BG64" i="1"/>
  <c r="EE64" i="1" s="1"/>
  <c r="G69" i="1"/>
  <c r="BI69" i="1"/>
  <c r="DG72" i="1"/>
  <c r="G72" i="1"/>
  <c r="BI72" i="1"/>
  <c r="DV77" i="1"/>
  <c r="BN135" i="1"/>
  <c r="BG81" i="1"/>
  <c r="DT97" i="1"/>
  <c r="DE82" i="1"/>
  <c r="EF82" i="1" s="1"/>
  <c r="CI135" i="1"/>
  <c r="CI140" i="1" s="1"/>
  <c r="CZ89" i="1"/>
  <c r="DY89" i="1" s="1"/>
  <c r="CI97" i="1"/>
  <c r="CI131" i="1" s="1"/>
  <c r="DH89" i="1"/>
  <c r="DH135" i="1" s="1"/>
  <c r="G91" i="1"/>
  <c r="BG93" i="1"/>
  <c r="DL133" i="1"/>
  <c r="DT133" i="1"/>
  <c r="DT129" i="1"/>
  <c r="CE100" i="1"/>
  <c r="DD100" i="1" s="1"/>
  <c r="DU129" i="1"/>
  <c r="DI101" i="1"/>
  <c r="BK101" i="1"/>
  <c r="AZ133" i="1"/>
  <c r="AZ129" i="1"/>
  <c r="BY101" i="1"/>
  <c r="BL134" i="1"/>
  <c r="CJ134" i="1"/>
  <c r="CF103" i="1"/>
  <c r="AG114" i="1"/>
  <c r="BF114" i="1" s="1"/>
  <c r="CF121" i="1"/>
  <c r="DG121" i="1"/>
  <c r="DE121" i="1" s="1"/>
  <c r="CF123" i="1"/>
  <c r="DG123" i="1"/>
  <c r="AQ137" i="1"/>
  <c r="AQ140" i="1" s="1"/>
  <c r="AQ50" i="1"/>
  <c r="AQ131" i="1" s="1"/>
  <c r="BJ137" i="1"/>
  <c r="BJ50" i="1"/>
  <c r="BZ137" i="1"/>
  <c r="CO137" i="1"/>
  <c r="CO140" i="1" s="1"/>
  <c r="CO50" i="1"/>
  <c r="CO131" i="1" s="1"/>
  <c r="DH137" i="1"/>
  <c r="DH50" i="1"/>
  <c r="DP137" i="1"/>
  <c r="DX137" i="1"/>
  <c r="DO38" i="1"/>
  <c r="ED46" i="1"/>
  <c r="DX50" i="1"/>
  <c r="AF139" i="1"/>
  <c r="EB51" i="1"/>
  <c r="DN139" i="1"/>
  <c r="DN77" i="1"/>
  <c r="DE59" i="1"/>
  <c r="EF59" i="1" s="1"/>
  <c r="DE65" i="1"/>
  <c r="EF65" i="1" s="1"/>
  <c r="ED66" i="1"/>
  <c r="I66" i="1"/>
  <c r="DW72" i="1"/>
  <c r="BY72" i="1"/>
  <c r="DF77" i="1"/>
  <c r="AI135" i="1"/>
  <c r="AI97" i="1"/>
  <c r="BO135" i="1"/>
  <c r="BO97" i="1"/>
  <c r="BW135" i="1"/>
  <c r="BW97" i="1"/>
  <c r="DL97" i="1"/>
  <c r="CC97" i="1"/>
  <c r="CE86" i="1"/>
  <c r="DD86" i="1" s="1"/>
  <c r="DF91" i="1"/>
  <c r="AL135" i="1"/>
  <c r="BK95" i="1"/>
  <c r="BK135" i="1" s="1"/>
  <c r="AL97" i="1"/>
  <c r="CH135" i="1"/>
  <c r="CH97" i="1"/>
  <c r="DG95" i="1"/>
  <c r="DG97" i="1" s="1"/>
  <c r="BO133" i="1"/>
  <c r="DV129" i="1"/>
  <c r="DP129" i="1"/>
  <c r="BZ124" i="1"/>
  <c r="AB129" i="1"/>
  <c r="DX124" i="1"/>
  <c r="G124" i="1"/>
  <c r="AR137" i="1"/>
  <c r="AR140" i="1" s="1"/>
  <c r="BK137" i="1"/>
  <c r="CA137" i="1"/>
  <c r="CA50" i="1"/>
  <c r="CP137" i="1"/>
  <c r="CP140" i="1" s="1"/>
  <c r="CP50" i="1"/>
  <c r="CP131" i="1" s="1"/>
  <c r="CP141" i="1" s="1"/>
  <c r="DI137" i="1"/>
  <c r="DY137" i="1"/>
  <c r="CH137" i="1"/>
  <c r="CH50" i="1"/>
  <c r="CY137" i="1"/>
  <c r="AA137" i="1"/>
  <c r="AA50" i="1"/>
  <c r="DW36" i="1"/>
  <c r="DW50" i="1" s="1"/>
  <c r="DY50" i="1"/>
  <c r="AJ139" i="1"/>
  <c r="AH51" i="1"/>
  <c r="AJ77" i="1"/>
  <c r="BL139" i="1"/>
  <c r="BL77" i="1"/>
  <c r="BT139" i="1"/>
  <c r="BT77" i="1"/>
  <c r="CB139" i="1"/>
  <c r="CB77" i="1"/>
  <c r="DO139" i="1"/>
  <c r="Y139" i="1"/>
  <c r="DU66" i="1"/>
  <c r="DU77" i="1" s="1"/>
  <c r="Y77" i="1"/>
  <c r="Y131" i="1" s="1"/>
  <c r="BB135" i="1"/>
  <c r="BB140" i="1" s="1"/>
  <c r="BB97" i="1"/>
  <c r="DQ97" i="1"/>
  <c r="I92" i="1"/>
  <c r="CJ135" i="1"/>
  <c r="CJ97" i="1"/>
  <c r="DI95" i="1"/>
  <c r="DI97" i="1" s="1"/>
  <c r="AH96" i="1"/>
  <c r="BH96" i="1"/>
  <c r="BG96" i="1" s="1"/>
  <c r="BR129" i="1"/>
  <c r="R137" i="1"/>
  <c r="R140" i="1" s="1"/>
  <c r="AS137" i="1"/>
  <c r="AS140" i="1" s="1"/>
  <c r="AS50" i="1"/>
  <c r="AS131" i="1" s="1"/>
  <c r="BL137" i="1"/>
  <c r="BT137" i="1"/>
  <c r="CQ137" i="1"/>
  <c r="CQ140" i="1" s="1"/>
  <c r="DJ137" i="1"/>
  <c r="DR137" i="1"/>
  <c r="BA137" i="1"/>
  <c r="BA50" i="1"/>
  <c r="AD137" i="1"/>
  <c r="AD50" i="1"/>
  <c r="AD131" i="1" s="1"/>
  <c r="CF48" i="1"/>
  <c r="DM48" i="1"/>
  <c r="DE48" i="1" s="1"/>
  <c r="AH49" i="1"/>
  <c r="CY50" i="1"/>
  <c r="BE139" i="1"/>
  <c r="BM139" i="1"/>
  <c r="BU139" i="1"/>
  <c r="CC139" i="1"/>
  <c r="DH139" i="1"/>
  <c r="DH77" i="1"/>
  <c r="DP139" i="1"/>
  <c r="DP77" i="1"/>
  <c r="BI52" i="1"/>
  <c r="DG52" i="1"/>
  <c r="DE52" i="1" s="1"/>
  <c r="BI53" i="1"/>
  <c r="BG53" i="1" s="1"/>
  <c r="EE53" i="1" s="1"/>
  <c r="DG58" i="1"/>
  <c r="DE58" i="1" s="1"/>
  <c r="EF58" i="1" s="1"/>
  <c r="G58" i="1"/>
  <c r="BY61" i="1"/>
  <c r="ED65" i="1"/>
  <c r="I65" i="1"/>
  <c r="BY71" i="1"/>
  <c r="DW71" i="1"/>
  <c r="G71" i="1"/>
  <c r="DW74" i="1"/>
  <c r="DE74" i="1" s="1"/>
  <c r="CF74" i="1"/>
  <c r="BM77" i="1"/>
  <c r="CE79" i="1"/>
  <c r="DD79" i="1" s="1"/>
  <c r="AY135" i="1"/>
  <c r="AY97" i="1"/>
  <c r="BX83" i="1"/>
  <c r="AH83" i="1"/>
  <c r="CF88" i="1"/>
  <c r="CX97" i="1"/>
  <c r="DW88" i="1"/>
  <c r="DE88" i="1" s="1"/>
  <c r="EB90" i="1"/>
  <c r="CD90" i="1"/>
  <c r="G90" i="1"/>
  <c r="AG90" i="1" s="1"/>
  <c r="BF90" i="1" s="1"/>
  <c r="I95" i="1"/>
  <c r="ED95" i="1"/>
  <c r="V133" i="1"/>
  <c r="V140" i="1" s="1"/>
  <c r="BT101" i="1"/>
  <c r="BT129" i="1" s="1"/>
  <c r="DR101" i="1"/>
  <c r="V129" i="1"/>
  <c r="V131" i="1" s="1"/>
  <c r="V141" i="1" s="1"/>
  <c r="CF122" i="1"/>
  <c r="DG122" i="1"/>
  <c r="DE122" i="1" s="1"/>
  <c r="CH139" i="1"/>
  <c r="CF51" i="1"/>
  <c r="AH55" i="1"/>
  <c r="G56" i="1"/>
  <c r="CE56" i="1" s="1"/>
  <c r="DD56" i="1" s="1"/>
  <c r="AH61" i="1"/>
  <c r="BG62" i="1"/>
  <c r="AX139" i="1"/>
  <c r="AX77" i="1"/>
  <c r="AH67" i="1"/>
  <c r="BP97" i="1"/>
  <c r="I82" i="1"/>
  <c r="ED82" i="1"/>
  <c r="CF84" i="1"/>
  <c r="DY84" i="1"/>
  <c r="AZ97" i="1"/>
  <c r="AH87" i="1"/>
  <c r="AH91" i="1"/>
  <c r="BG99" i="1"/>
  <c r="ED102" i="1"/>
  <c r="I102" i="1"/>
  <c r="G108" i="1"/>
  <c r="BO108" i="1"/>
  <c r="CE111" i="1"/>
  <c r="DD111" i="1" s="1"/>
  <c r="EB114" i="1"/>
  <c r="ED120" i="1"/>
  <c r="I120" i="1"/>
  <c r="CE92" i="1"/>
  <c r="DD92" i="1" s="1"/>
  <c r="DE99" i="1"/>
  <c r="I103" i="1"/>
  <c r="AG109" i="1"/>
  <c r="BF109" i="1" s="1"/>
  <c r="AG111" i="1"/>
  <c r="BF111" i="1" s="1"/>
  <c r="EB113" i="1"/>
  <c r="CD113" i="1"/>
  <c r="G113" i="1"/>
  <c r="BA134" i="1"/>
  <c r="BZ118" i="1"/>
  <c r="BA129" i="1"/>
  <c r="CY129" i="1"/>
  <c r="DX118" i="1"/>
  <c r="DE118" i="1" s="1"/>
  <c r="CY134" i="1"/>
  <c r="Y140" i="1"/>
  <c r="AH95" i="1"/>
  <c r="BW133" i="1"/>
  <c r="BW129" i="1"/>
  <c r="DK129" i="1"/>
  <c r="DK133" i="1"/>
  <c r="DS133" i="1"/>
  <c r="DS129" i="1"/>
  <c r="EA133" i="1"/>
  <c r="AJ133" i="1"/>
  <c r="AJ129" i="1"/>
  <c r="AH101" i="1"/>
  <c r="CX133" i="1"/>
  <c r="CF101" i="1"/>
  <c r="CX129" i="1"/>
  <c r="DW101" i="1"/>
  <c r="CJ129" i="1"/>
  <c r="CF102" i="1"/>
  <c r="AH106" i="1"/>
  <c r="BK106" i="1"/>
  <c r="K129" i="1"/>
  <c r="K133" i="1"/>
  <c r="G101" i="1"/>
  <c r="BI101" i="1"/>
  <c r="BI133" i="1" s="1"/>
  <c r="DE107" i="1"/>
  <c r="AA134" i="1"/>
  <c r="DW116" i="1"/>
  <c r="DE116" i="1" s="1"/>
  <c r="EF116" i="1" s="1"/>
  <c r="AA129" i="1"/>
  <c r="BY116" i="1"/>
  <c r="BG116" i="1" s="1"/>
  <c r="G116" i="1"/>
  <c r="BH119" i="1"/>
  <c r="BH134" i="1" s="1"/>
  <c r="AH119" i="1"/>
  <c r="AI134" i="1"/>
  <c r="CD49" i="1"/>
  <c r="AA139" i="1"/>
  <c r="BH139" i="1"/>
  <c r="BP139" i="1"/>
  <c r="BX139" i="1"/>
  <c r="DI139" i="1"/>
  <c r="DQ139" i="1"/>
  <c r="DY139" i="1"/>
  <c r="AN139" i="1"/>
  <c r="AN140" i="1" s="1"/>
  <c r="G68" i="1"/>
  <c r="AN77" i="1"/>
  <c r="AN131" i="1" s="1"/>
  <c r="BV135" i="1"/>
  <c r="DZ135" i="1"/>
  <c r="DF83" i="1"/>
  <c r="DE83" i="1" s="1"/>
  <c r="DV90" i="1"/>
  <c r="EF92" i="1"/>
  <c r="CF96" i="1"/>
  <c r="M133" i="1"/>
  <c r="DI98" i="1"/>
  <c r="M129" i="1"/>
  <c r="G98" i="1"/>
  <c r="CT133" i="1"/>
  <c r="CT140" i="1" s="1"/>
  <c r="CT129" i="1"/>
  <c r="CT131" i="1" s="1"/>
  <c r="CT141" i="1" s="1"/>
  <c r="DN133" i="1"/>
  <c r="DN129" i="1"/>
  <c r="DV133" i="1"/>
  <c r="S133" i="1"/>
  <c r="S129" i="1"/>
  <c r="DO101" i="1"/>
  <c r="DO133" i="1" s="1"/>
  <c r="AG102" i="1"/>
  <c r="BF102" i="1" s="1"/>
  <c r="DJ134" i="1"/>
  <c r="G104" i="1"/>
  <c r="DG104" i="1"/>
  <c r="BJ139" i="1"/>
  <c r="BR139" i="1"/>
  <c r="DC139" i="1"/>
  <c r="DS139" i="1"/>
  <c r="EA139" i="1"/>
  <c r="CD63" i="1"/>
  <c r="BH78" i="1"/>
  <c r="BP135" i="1"/>
  <c r="CG135" i="1"/>
  <c r="CG97" i="1"/>
  <c r="CF78" i="1"/>
  <c r="DK135" i="1"/>
  <c r="DK97" i="1"/>
  <c r="DS135" i="1"/>
  <c r="DS97" i="1"/>
  <c r="G83" i="1"/>
  <c r="G97" i="1" s="1"/>
  <c r="ED97" i="1" s="1"/>
  <c r="AZ135" i="1"/>
  <c r="I84" i="1"/>
  <c r="DW84" i="1"/>
  <c r="DY86" i="1"/>
  <c r="DE86" i="1" s="1"/>
  <c r="EF86" i="1" s="1"/>
  <c r="BY87" i="1"/>
  <c r="BG87" i="1" s="1"/>
  <c r="AK135" i="1"/>
  <c r="AK140" i="1" s="1"/>
  <c r="AK97" i="1"/>
  <c r="AK131" i="1" s="1"/>
  <c r="BJ89" i="1"/>
  <c r="BJ97" i="1" s="1"/>
  <c r="AH89" i="1"/>
  <c r="BY91" i="1"/>
  <c r="BG91" i="1" s="1"/>
  <c r="CF93" i="1"/>
  <c r="DF94" i="1"/>
  <c r="DE94" i="1" s="1"/>
  <c r="EF94" i="1" s="1"/>
  <c r="BH94" i="1"/>
  <c r="G94" i="1"/>
  <c r="BS133" i="1"/>
  <c r="CB129" i="1"/>
  <c r="DF133" i="1"/>
  <c r="DP133" i="1"/>
  <c r="BX134" i="1"/>
  <c r="U134" i="1"/>
  <c r="U129" i="1"/>
  <c r="DQ105" i="1"/>
  <c r="CM134" i="1"/>
  <c r="CM140" i="1" s="1"/>
  <c r="DL113" i="1"/>
  <c r="DL129" i="1" s="1"/>
  <c r="CM129" i="1"/>
  <c r="CM131" i="1" s="1"/>
  <c r="CF113" i="1"/>
  <c r="ED114" i="1"/>
  <c r="I114" i="1"/>
  <c r="DE114" i="1"/>
  <c r="EF114" i="1" s="1"/>
  <c r="AH117" i="1"/>
  <c r="BI117" i="1"/>
  <c r="AG124" i="1"/>
  <c r="BF124" i="1" s="1"/>
  <c r="AL129" i="1"/>
  <c r="AE140" i="1"/>
  <c r="BK139" i="1"/>
  <c r="BS139" i="1"/>
  <c r="CA139" i="1"/>
  <c r="DL139" i="1"/>
  <c r="DT139" i="1"/>
  <c r="CF71" i="1"/>
  <c r="DC77" i="1"/>
  <c r="DS77" i="1"/>
  <c r="EA77" i="1"/>
  <c r="AA135" i="1"/>
  <c r="AA97" i="1"/>
  <c r="BQ135" i="1"/>
  <c r="BQ97" i="1"/>
  <c r="BY78" i="1"/>
  <c r="DY78" i="1"/>
  <c r="DL135" i="1"/>
  <c r="DT135" i="1"/>
  <c r="AH80" i="1"/>
  <c r="BH80" i="1"/>
  <c r="BG80" i="1" s="1"/>
  <c r="EE81" i="1"/>
  <c r="EE82" i="1"/>
  <c r="CF83" i="1"/>
  <c r="DC135" i="1"/>
  <c r="DC97" i="1"/>
  <c r="DF95" i="1"/>
  <c r="BH95" i="1"/>
  <c r="DF96" i="1"/>
  <c r="DE96" i="1" s="1"/>
  <c r="G96" i="1"/>
  <c r="DZ97" i="1"/>
  <c r="AI133" i="1"/>
  <c r="AI129" i="1"/>
  <c r="AH98" i="1"/>
  <c r="BH98" i="1"/>
  <c r="BL98" i="1"/>
  <c r="DG133" i="1"/>
  <c r="AG99" i="1"/>
  <c r="BF99" i="1" s="1"/>
  <c r="EE99" i="1"/>
  <c r="DC133" i="1"/>
  <c r="DC129" i="1"/>
  <c r="M134" i="1"/>
  <c r="BK103" i="1"/>
  <c r="BD134" i="1"/>
  <c r="BD140" i="1" s="1"/>
  <c r="BD129" i="1"/>
  <c r="BD131" i="1" s="1"/>
  <c r="BP134" i="1"/>
  <c r="G112" i="1"/>
  <c r="AG112" i="1" s="1"/>
  <c r="BF112" i="1" s="1"/>
  <c r="EB112" i="1"/>
  <c r="DE112" i="1" s="1"/>
  <c r="EF112" i="1" s="1"/>
  <c r="CD112" i="1"/>
  <c r="BG112" i="1" s="1"/>
  <c r="EE112" i="1" s="1"/>
  <c r="AH118" i="1"/>
  <c r="BI118" i="1"/>
  <c r="BG118" i="1" s="1"/>
  <c r="EB125" i="1"/>
  <c r="EB138" i="1" s="1"/>
  <c r="CF125" i="1"/>
  <c r="G126" i="1"/>
  <c r="DX126" i="1"/>
  <c r="J135" i="1"/>
  <c r="CX139" i="1"/>
  <c r="CY139" i="1"/>
  <c r="AA77" i="1"/>
  <c r="BH77" i="1"/>
  <c r="BP77" i="1"/>
  <c r="BX77" i="1"/>
  <c r="DL77" i="1"/>
  <c r="DT77" i="1"/>
  <c r="BR135" i="1"/>
  <c r="BZ135" i="1"/>
  <c r="DM135" i="1"/>
  <c r="DM97" i="1"/>
  <c r="DU135" i="1"/>
  <c r="DU97" i="1"/>
  <c r="CW135" i="1"/>
  <c r="CW97" i="1"/>
  <c r="DW90" i="1"/>
  <c r="CF95" i="1"/>
  <c r="BV129" i="1"/>
  <c r="BV133" i="1"/>
  <c r="DR129" i="1"/>
  <c r="EF99" i="1"/>
  <c r="CE99" i="1"/>
  <c r="DD99" i="1" s="1"/>
  <c r="Q129" i="1"/>
  <c r="Q134" i="1"/>
  <c r="BO103" i="1"/>
  <c r="DM103" i="1"/>
  <c r="BE134" i="1"/>
  <c r="DP134" i="1"/>
  <c r="BW134" i="1"/>
  <c r="DC134" i="1"/>
  <c r="BS106" i="1"/>
  <c r="BS134" i="1" s="1"/>
  <c r="G106" i="1"/>
  <c r="CN134" i="1"/>
  <c r="CN129" i="1"/>
  <c r="DM106" i="1"/>
  <c r="CF106" i="1"/>
  <c r="AG121" i="1"/>
  <c r="BF121" i="1" s="1"/>
  <c r="BI126" i="1"/>
  <c r="AH126" i="1"/>
  <c r="AM133" i="1"/>
  <c r="AM140" i="1" s="1"/>
  <c r="AM141" i="1" s="1"/>
  <c r="CC135" i="1"/>
  <c r="DN135" i="1"/>
  <c r="AF135" i="1"/>
  <c r="EB85" i="1"/>
  <c r="DW87" i="1"/>
  <c r="AF97" i="1"/>
  <c r="BM133" i="1"/>
  <c r="BM129" i="1"/>
  <c r="BU98" i="1"/>
  <c r="CC133" i="1"/>
  <c r="DM133" i="1"/>
  <c r="DU133" i="1"/>
  <c r="AL133" i="1"/>
  <c r="DI102" i="1"/>
  <c r="DE102" i="1" s="1"/>
  <c r="BM134" i="1"/>
  <c r="BV134" i="1"/>
  <c r="DH134" i="1"/>
  <c r="DQ134" i="1"/>
  <c r="DY134" i="1"/>
  <c r="EB104" i="1"/>
  <c r="AC134" i="1"/>
  <c r="AC129" i="1"/>
  <c r="AC131" i="1" s="1"/>
  <c r="BI107" i="1"/>
  <c r="G107" i="1"/>
  <c r="AG107" i="1" s="1"/>
  <c r="BF107" i="1" s="1"/>
  <c r="CF107" i="1"/>
  <c r="CD114" i="1"/>
  <c r="CF118" i="1"/>
  <c r="DG120" i="1"/>
  <c r="DE120" i="1" s="1"/>
  <c r="ED121" i="1"/>
  <c r="I121" i="1"/>
  <c r="I128" i="1"/>
  <c r="ED128" i="1"/>
  <c r="DQ135" i="1"/>
  <c r="CX135" i="1"/>
  <c r="BE135" i="1"/>
  <c r="CA94" i="1"/>
  <c r="AF133" i="1"/>
  <c r="BP133" i="1"/>
  <c r="BP129" i="1"/>
  <c r="BX133" i="1"/>
  <c r="BX129" i="1"/>
  <c r="DH133" i="1"/>
  <c r="DX133" i="1"/>
  <c r="BE133" i="1"/>
  <c r="BE129" i="1"/>
  <c r="S134" i="1"/>
  <c r="DO103" i="1"/>
  <c r="DO134" i="1" s="1"/>
  <c r="BQ103" i="1"/>
  <c r="BQ134" i="1" s="1"/>
  <c r="DB134" i="1"/>
  <c r="DB140" i="1" s="1"/>
  <c r="DB129" i="1"/>
  <c r="DB131" i="1" s="1"/>
  <c r="DK134" i="1"/>
  <c r="DT134" i="1"/>
  <c r="AP134" i="1"/>
  <c r="AP129" i="1"/>
  <c r="CR134" i="1"/>
  <c r="CR129" i="1"/>
  <c r="BK107" i="1"/>
  <c r="CD115" i="1"/>
  <c r="BG115" i="1" s="1"/>
  <c r="EE115" i="1" s="1"/>
  <c r="EB115" i="1"/>
  <c r="DE115" i="1" s="1"/>
  <c r="BY120" i="1"/>
  <c r="BQ133" i="1"/>
  <c r="CG133" i="1"/>
  <c r="CG129" i="1"/>
  <c r="DQ133" i="1"/>
  <c r="DQ129" i="1"/>
  <c r="DY133" i="1"/>
  <c r="DY129" i="1"/>
  <c r="EB101" i="1"/>
  <c r="BR134" i="1"/>
  <c r="DU134" i="1"/>
  <c r="EF108" i="1"/>
  <c r="AZ134" i="1"/>
  <c r="BY114" i="1"/>
  <c r="CG134" i="1"/>
  <c r="DF119" i="1"/>
  <c r="CF119" i="1"/>
  <c r="AH120" i="1"/>
  <c r="BI120" i="1"/>
  <c r="CF126" i="1"/>
  <c r="I127" i="1"/>
  <c r="ED127" i="1"/>
  <c r="EB128" i="1"/>
  <c r="DE128" i="1" s="1"/>
  <c r="AF129" i="1"/>
  <c r="BJ133" i="1"/>
  <c r="BJ129" i="1"/>
  <c r="BR133" i="1"/>
  <c r="BZ133" i="1"/>
  <c r="CK133" i="1"/>
  <c r="CK140" i="1" s="1"/>
  <c r="CK129" i="1"/>
  <c r="CK131" i="1" s="1"/>
  <c r="CK141" i="1" s="1"/>
  <c r="DJ98" i="1"/>
  <c r="DE98" i="1" s="1"/>
  <c r="DR133" i="1"/>
  <c r="DR140" i="1" s="1"/>
  <c r="DZ133" i="1"/>
  <c r="DZ129" i="1"/>
  <c r="AF134" i="1"/>
  <c r="CF104" i="1"/>
  <c r="EE110" i="1"/>
  <c r="AJ134" i="1"/>
  <c r="DI119" i="1"/>
  <c r="BK119" i="1"/>
  <c r="G119" i="1"/>
  <c r="AV129" i="1"/>
  <c r="AV131" i="1" s="1"/>
  <c r="DH129" i="1"/>
  <c r="K134" i="1"/>
  <c r="AL134" i="1"/>
  <c r="EA103" i="1"/>
  <c r="EA134" i="1" s="1"/>
  <c r="CD109" i="1"/>
  <c r="CD111" i="1"/>
  <c r="BG111" i="1" s="1"/>
  <c r="EE111" i="1" s="1"/>
  <c r="BN114" i="1"/>
  <c r="CH134" i="1"/>
  <c r="BI127" i="1"/>
  <c r="BG127" i="1" s="1"/>
  <c r="EE127" i="1" s="1"/>
  <c r="J134" i="1"/>
  <c r="J140" i="1" s="1"/>
  <c r="DA140" i="1"/>
  <c r="DN134" i="1"/>
  <c r="DV134" i="1"/>
  <c r="AH104" i="1"/>
  <c r="AT134" i="1"/>
  <c r="AT140" i="1" s="1"/>
  <c r="G115" i="1"/>
  <c r="AH116" i="1"/>
  <c r="G118" i="1"/>
  <c r="CX138" i="1"/>
  <c r="BI125" i="1"/>
  <c r="BG125" i="1" s="1"/>
  <c r="EE125" i="1" s="1"/>
  <c r="DG125" i="1"/>
  <c r="G125" i="1"/>
  <c r="AH128" i="1"/>
  <c r="J129" i="1"/>
  <c r="J131" i="1" s="1"/>
  <c r="CZ129" i="1"/>
  <c r="DG103" i="1"/>
  <c r="AO134" i="1"/>
  <c r="AO140" i="1" s="1"/>
  <c r="AO129" i="1"/>
  <c r="AO131" i="1" s="1"/>
  <c r="CH129" i="1"/>
  <c r="CX134" i="1"/>
  <c r="U140" i="1"/>
  <c r="CS140" i="1"/>
  <c r="AC140" i="1"/>
  <c r="O140" i="1"/>
  <c r="O141" i="1" s="1"/>
  <c r="AB140" i="1"/>
  <c r="N140" i="1"/>
  <c r="N141" i="1" s="1"/>
  <c r="AD140" i="1"/>
  <c r="DE71" i="1" l="1"/>
  <c r="BG47" i="1"/>
  <c r="EE34" i="1"/>
  <c r="DE37" i="1"/>
  <c r="EF37" i="1" s="1"/>
  <c r="DE68" i="1"/>
  <c r="EF68" i="1" s="1"/>
  <c r="DE78" i="1"/>
  <c r="AG58" i="1"/>
  <c r="BF58" i="1" s="1"/>
  <c r="CB137" i="1"/>
  <c r="BZ50" i="1"/>
  <c r="DV24" i="1"/>
  <c r="DQ135" i="2"/>
  <c r="EE122" i="1"/>
  <c r="DE118" i="2"/>
  <c r="EF8" i="1"/>
  <c r="BG83" i="1"/>
  <c r="BG29" i="1"/>
  <c r="EF127" i="1"/>
  <c r="DN50" i="1"/>
  <c r="BS138" i="1"/>
  <c r="DE95" i="1"/>
  <c r="EF95" i="1" s="1"/>
  <c r="DE41" i="2"/>
  <c r="BG60" i="1"/>
  <c r="BG108" i="1"/>
  <c r="EE108" i="1" s="1"/>
  <c r="AV141" i="1"/>
  <c r="BG105" i="1"/>
  <c r="EE62" i="1"/>
  <c r="BB131" i="1"/>
  <c r="BB141" i="1" s="1"/>
  <c r="EF40" i="1"/>
  <c r="BG27" i="1"/>
  <c r="EE27" i="1" s="1"/>
  <c r="BO135" i="2"/>
  <c r="BG120" i="2"/>
  <c r="BG117" i="1"/>
  <c r="AY140" i="1"/>
  <c r="EE22" i="1"/>
  <c r="BI97" i="1"/>
  <c r="EE105" i="1"/>
  <c r="BG124" i="1"/>
  <c r="EE124" i="1" s="1"/>
  <c r="DE123" i="1"/>
  <c r="BG68" i="2"/>
  <c r="CC129" i="1"/>
  <c r="CC131" i="1" s="1"/>
  <c r="CC141" i="1" s="1"/>
  <c r="DE105" i="1"/>
  <c r="EF105" i="1" s="1"/>
  <c r="CD77" i="1"/>
  <c r="BG56" i="1"/>
  <c r="EE33" i="1"/>
  <c r="BG40" i="1"/>
  <c r="EE40" i="1" s="1"/>
  <c r="BG67" i="2"/>
  <c r="CV131" i="1"/>
  <c r="CV141" i="1" s="1"/>
  <c r="EF61" i="1"/>
  <c r="DE125" i="1"/>
  <c r="DK139" i="1"/>
  <c r="DK140" i="1" s="1"/>
  <c r="DK141" i="1" s="1"/>
  <c r="DV135" i="1"/>
  <c r="CD97" i="1"/>
  <c r="DX139" i="1"/>
  <c r="AG73" i="1"/>
  <c r="BF73" i="1" s="1"/>
  <c r="BG9" i="1"/>
  <c r="EE9" i="1" s="1"/>
  <c r="BP137" i="1"/>
  <c r="EF26" i="1"/>
  <c r="DE91" i="1"/>
  <c r="EF91" i="1" s="1"/>
  <c r="DE33" i="1"/>
  <c r="EF33" i="1" s="1"/>
  <c r="DE62" i="1"/>
  <c r="EF62" i="1" s="1"/>
  <c r="BS50" i="1"/>
  <c r="BS131" i="1" s="1"/>
  <c r="BZ139" i="1"/>
  <c r="BG38" i="1"/>
  <c r="EE38" i="1" s="1"/>
  <c r="BG73" i="1"/>
  <c r="EE73" i="1" s="1"/>
  <c r="CE8" i="1"/>
  <c r="DD8" i="1" s="1"/>
  <c r="BG67" i="1"/>
  <c r="EE67" i="1" s="1"/>
  <c r="CE34" i="2"/>
  <c r="DD34" i="2" s="1"/>
  <c r="BZ129" i="1"/>
  <c r="EF52" i="1"/>
  <c r="DE38" i="1"/>
  <c r="EF38" i="1" s="1"/>
  <c r="DE44" i="1"/>
  <c r="EF44" i="1" s="1"/>
  <c r="CA134" i="1"/>
  <c r="DE126" i="1"/>
  <c r="BG113" i="1"/>
  <c r="EE113" i="1" s="1"/>
  <c r="EF34" i="1"/>
  <c r="DE54" i="1"/>
  <c r="EF54" i="1" s="1"/>
  <c r="K140" i="1"/>
  <c r="DS131" i="1"/>
  <c r="DE84" i="1"/>
  <c r="EF84" i="1" s="1"/>
  <c r="BM131" i="1"/>
  <c r="AZ131" i="1"/>
  <c r="DE36" i="1"/>
  <c r="EF36" i="1" s="1"/>
  <c r="AP131" i="1"/>
  <c r="X141" i="1"/>
  <c r="BK136" i="1"/>
  <c r="G77" i="1"/>
  <c r="ED77" i="1" s="1"/>
  <c r="S131" i="1"/>
  <c r="S141" i="1" s="1"/>
  <c r="AX140" i="1"/>
  <c r="CS141" i="1"/>
  <c r="EA24" i="1"/>
  <c r="DI25" i="2"/>
  <c r="BC141" i="1"/>
  <c r="AG109" i="2"/>
  <c r="BF109" i="2" s="1"/>
  <c r="DE38" i="2"/>
  <c r="DE92" i="2"/>
  <c r="DB141" i="1"/>
  <c r="AC141" i="1"/>
  <c r="BQ129" i="1"/>
  <c r="AN141" i="1"/>
  <c r="R141" i="1"/>
  <c r="Q131" i="1"/>
  <c r="DE75" i="1"/>
  <c r="EF75" i="1" s="1"/>
  <c r="DI136" i="1"/>
  <c r="DX77" i="1"/>
  <c r="CE98" i="1"/>
  <c r="DD98" i="1" s="1"/>
  <c r="BG126" i="1"/>
  <c r="EE126" i="1" s="1"/>
  <c r="CE27" i="1"/>
  <c r="DD27" i="1" s="1"/>
  <c r="BG103" i="1"/>
  <c r="EE103" i="1" s="1"/>
  <c r="AA140" i="1"/>
  <c r="BW50" i="1"/>
  <c r="BW131" i="1" s="1"/>
  <c r="AX131" i="1"/>
  <c r="DQ24" i="1"/>
  <c r="DP131" i="1"/>
  <c r="AH24" i="1"/>
  <c r="AG24" i="1" s="1"/>
  <c r="BF24" i="1" s="1"/>
  <c r="DE124" i="1"/>
  <c r="EF124" i="1" s="1"/>
  <c r="I61" i="1"/>
  <c r="ED61" i="1"/>
  <c r="S140" i="1"/>
  <c r="AD141" i="1"/>
  <c r="Y141" i="1"/>
  <c r="DN131" i="1"/>
  <c r="BK97" i="1"/>
  <c r="DH97" i="1"/>
  <c r="DH131" i="1" s="1"/>
  <c r="CE73" i="1"/>
  <c r="DD73" i="1" s="1"/>
  <c r="AB131" i="1"/>
  <c r="AB141" i="1" s="1"/>
  <c r="CE40" i="1"/>
  <c r="DD40" i="1" s="1"/>
  <c r="CE124" i="1"/>
  <c r="DD124" i="1" s="1"/>
  <c r="ED62" i="1"/>
  <c r="I62" i="1"/>
  <c r="ED109" i="1"/>
  <c r="I109" i="1"/>
  <c r="I68" i="2"/>
  <c r="I12" i="2"/>
  <c r="DE12" i="2"/>
  <c r="DE54" i="2"/>
  <c r="DY135" i="2"/>
  <c r="AG93" i="2"/>
  <c r="BF93" i="2" s="1"/>
  <c r="DE56" i="2"/>
  <c r="DE69" i="2"/>
  <c r="CC25" i="2"/>
  <c r="DV137" i="2"/>
  <c r="DE23" i="2"/>
  <c r="DE47" i="2"/>
  <c r="AG99" i="2"/>
  <c r="BF99" i="2" s="1"/>
  <c r="CE12" i="2"/>
  <c r="DD12" i="2" s="1"/>
  <c r="AE132" i="2"/>
  <c r="AE142" i="2" s="1"/>
  <c r="BJ136" i="2"/>
  <c r="BJ141" i="2" s="1"/>
  <c r="R132" i="2"/>
  <c r="BG90" i="2"/>
  <c r="AG39" i="2"/>
  <c r="BF39" i="2" s="1"/>
  <c r="DE110" i="2"/>
  <c r="DE71" i="2"/>
  <c r="DE93" i="2"/>
  <c r="I99" i="2"/>
  <c r="CE60" i="2"/>
  <c r="DD60" i="2" s="1"/>
  <c r="BW51" i="2"/>
  <c r="I106" i="2"/>
  <c r="BG76" i="2"/>
  <c r="AG38" i="2"/>
  <c r="BF38" i="2" s="1"/>
  <c r="I93" i="2"/>
  <c r="BG84" i="2"/>
  <c r="BG88" i="2"/>
  <c r="I60" i="2"/>
  <c r="AG106" i="2"/>
  <c r="BF106" i="2" s="1"/>
  <c r="BG24" i="2"/>
  <c r="BG129" i="2"/>
  <c r="I96" i="2"/>
  <c r="AG68" i="2"/>
  <c r="BF68" i="2" s="1"/>
  <c r="CD137" i="2"/>
  <c r="BG124" i="2"/>
  <c r="DW139" i="2"/>
  <c r="BG41" i="2"/>
  <c r="BG53" i="2"/>
  <c r="CE44" i="2"/>
  <c r="DD44" i="2" s="1"/>
  <c r="DI136" i="2"/>
  <c r="BH135" i="2"/>
  <c r="AG29" i="2"/>
  <c r="BF29" i="2" s="1"/>
  <c r="EE29" i="2"/>
  <c r="AG128" i="2"/>
  <c r="BF128" i="2" s="1"/>
  <c r="EE128" i="2"/>
  <c r="BG16" i="2"/>
  <c r="I27" i="2"/>
  <c r="EE27" i="2"/>
  <c r="AC132" i="2"/>
  <c r="AC142" i="2" s="1"/>
  <c r="DE74" i="2"/>
  <c r="BG23" i="2"/>
  <c r="DE55" i="2"/>
  <c r="BG92" i="2"/>
  <c r="DE57" i="2"/>
  <c r="I88" i="2"/>
  <c r="EE88" i="2"/>
  <c r="I109" i="2"/>
  <c r="EE109" i="2"/>
  <c r="I37" i="2"/>
  <c r="EE37" i="2"/>
  <c r="BG45" i="2"/>
  <c r="DE72" i="2"/>
  <c r="AG114" i="2"/>
  <c r="BF114" i="2" s="1"/>
  <c r="I116" i="2"/>
  <c r="EE116" i="2"/>
  <c r="DE116" i="2"/>
  <c r="CE55" i="2"/>
  <c r="DD55" i="2" s="1"/>
  <c r="EE55" i="2"/>
  <c r="DQ130" i="2"/>
  <c r="DL135" i="2"/>
  <c r="DL141" i="2" s="1"/>
  <c r="DZ138" i="2"/>
  <c r="DZ141" i="2" s="1"/>
  <c r="CE69" i="2"/>
  <c r="DD69" i="2" s="1"/>
  <c r="EE69" i="2"/>
  <c r="I56" i="2"/>
  <c r="I36" i="2"/>
  <c r="CE68" i="2"/>
  <c r="DD68" i="2" s="1"/>
  <c r="DE13" i="2"/>
  <c r="DQ139" i="2"/>
  <c r="AG36" i="2"/>
  <c r="BF36" i="2" s="1"/>
  <c r="I95" i="2"/>
  <c r="EE95" i="2"/>
  <c r="I34" i="2"/>
  <c r="EE34" i="2"/>
  <c r="DO130" i="2"/>
  <c r="I54" i="2"/>
  <c r="EE54" i="2"/>
  <c r="CE97" i="2"/>
  <c r="EG97" i="2" s="1"/>
  <c r="EE97" i="2"/>
  <c r="AG116" i="2"/>
  <c r="BF116" i="2" s="1"/>
  <c r="CE38" i="2"/>
  <c r="DD38" i="2" s="1"/>
  <c r="EE38" i="2"/>
  <c r="AK142" i="2"/>
  <c r="DE107" i="2"/>
  <c r="CE122" i="2"/>
  <c r="DD122" i="2" s="1"/>
  <c r="EE122" i="2"/>
  <c r="AG45" i="2"/>
  <c r="BF45" i="2" s="1"/>
  <c r="H132" i="2"/>
  <c r="I129" i="2"/>
  <c r="EE129" i="2"/>
  <c r="DE63" i="2"/>
  <c r="AG41" i="2"/>
  <c r="BF41" i="2" s="1"/>
  <c r="CE92" i="2"/>
  <c r="DD92" i="2" s="1"/>
  <c r="AG61" i="2"/>
  <c r="BF61" i="2" s="1"/>
  <c r="DE35" i="2"/>
  <c r="CE116" i="2"/>
  <c r="DD116" i="2" s="1"/>
  <c r="EF116" i="2"/>
  <c r="BG34" i="2"/>
  <c r="CE118" i="2"/>
  <c r="DD118" i="2" s="1"/>
  <c r="EF118" i="2"/>
  <c r="BG110" i="2"/>
  <c r="CE70" i="2"/>
  <c r="DD70" i="2" s="1"/>
  <c r="CE27" i="2"/>
  <c r="DD27" i="2" s="1"/>
  <c r="EF27" i="2"/>
  <c r="CE41" i="2"/>
  <c r="DD41" i="2" s="1"/>
  <c r="EF41" i="2"/>
  <c r="DE126" i="2"/>
  <c r="CE47" i="2"/>
  <c r="DD47" i="2" s="1"/>
  <c r="EF47" i="2"/>
  <c r="CE76" i="2"/>
  <c r="DD76" i="2" s="1"/>
  <c r="EF76" i="2"/>
  <c r="CE54" i="2"/>
  <c r="DD54" i="2" s="1"/>
  <c r="EF54" i="2"/>
  <c r="BG125" i="2"/>
  <c r="CE104" i="2"/>
  <c r="DD104" i="2" s="1"/>
  <c r="DE37" i="2"/>
  <c r="DE127" i="2"/>
  <c r="CE75" i="2"/>
  <c r="DD75" i="2" s="1"/>
  <c r="EF75" i="2"/>
  <c r="CE99" i="2"/>
  <c r="DD99" i="2" s="1"/>
  <c r="EF99" i="2"/>
  <c r="CE125" i="2"/>
  <c r="DD125" i="2" s="1"/>
  <c r="EF125" i="2"/>
  <c r="CE39" i="2"/>
  <c r="DD39" i="2" s="1"/>
  <c r="EF39" i="2"/>
  <c r="BS135" i="2"/>
  <c r="DE16" i="2"/>
  <c r="CE53" i="2"/>
  <c r="DD53" i="2" s="1"/>
  <c r="BG62" i="2"/>
  <c r="BG47" i="2"/>
  <c r="DE108" i="2"/>
  <c r="DP132" i="2"/>
  <c r="P142" i="2"/>
  <c r="CE63" i="2"/>
  <c r="DD63" i="2" s="1"/>
  <c r="CE18" i="2"/>
  <c r="DD18" i="2" s="1"/>
  <c r="CC130" i="2"/>
  <c r="CC132" i="2" s="1"/>
  <c r="K132" i="2"/>
  <c r="EB137" i="2"/>
  <c r="CE126" i="2"/>
  <c r="DD126" i="2" s="1"/>
  <c r="AG110" i="2"/>
  <c r="BF110" i="2" s="1"/>
  <c r="DE115" i="2"/>
  <c r="J141" i="2"/>
  <c r="J142" i="2" s="1"/>
  <c r="CE30" i="2"/>
  <c r="DD30" i="2" s="1"/>
  <c r="AG34" i="2"/>
  <c r="BF34" i="2" s="1"/>
  <c r="CE43" i="2"/>
  <c r="DD43" i="2" s="1"/>
  <c r="DI135" i="2"/>
  <c r="Y132" i="2"/>
  <c r="Y142" i="2" s="1"/>
  <c r="AG69" i="2"/>
  <c r="BF69" i="2" s="1"/>
  <c r="DW135" i="2"/>
  <c r="BW78" i="2"/>
  <c r="DE85" i="2"/>
  <c r="BH130" i="2"/>
  <c r="DE70" i="2"/>
  <c r="BG36" i="2"/>
  <c r="BG56" i="2"/>
  <c r="BO130" i="2"/>
  <c r="BZ140" i="2"/>
  <c r="BG37" i="2"/>
  <c r="BG74" i="2"/>
  <c r="DE120" i="2"/>
  <c r="DU138" i="2"/>
  <c r="AD142" i="2"/>
  <c r="BG12" i="2"/>
  <c r="AG124" i="2"/>
  <c r="BF124" i="2" s="1"/>
  <c r="G130" i="2"/>
  <c r="EE130" i="2" s="1"/>
  <c r="AG108" i="2"/>
  <c r="BF108" i="2" s="1"/>
  <c r="Q132" i="2"/>
  <c r="BG106" i="2"/>
  <c r="BP134" i="2"/>
  <c r="DE106" i="2"/>
  <c r="BG118" i="2"/>
  <c r="W142" i="2"/>
  <c r="AX142" i="2"/>
  <c r="BG96" i="2"/>
  <c r="O142" i="2"/>
  <c r="T142" i="2"/>
  <c r="BG73" i="2"/>
  <c r="AU142" i="2"/>
  <c r="BY78" i="2"/>
  <c r="AB132" i="2"/>
  <c r="AB142" i="2" s="1"/>
  <c r="Q141" i="2"/>
  <c r="DE53" i="2"/>
  <c r="BZ138" i="2"/>
  <c r="CB138" i="2"/>
  <c r="CB141" i="2" s="1"/>
  <c r="U132" i="2"/>
  <c r="AW142" i="2"/>
  <c r="BG49" i="2"/>
  <c r="DE36" i="2"/>
  <c r="BR132" i="2"/>
  <c r="AP141" i="2"/>
  <c r="S132" i="2"/>
  <c r="DE49" i="2"/>
  <c r="CV141" i="2"/>
  <c r="AV142" i="2"/>
  <c r="BT141" i="2"/>
  <c r="U141" i="2"/>
  <c r="Z142" i="2"/>
  <c r="S141" i="2"/>
  <c r="N142" i="2"/>
  <c r="R141" i="2"/>
  <c r="R142" i="2" s="1"/>
  <c r="V142" i="2"/>
  <c r="BS139" i="2"/>
  <c r="AM142" i="2"/>
  <c r="DE87" i="1"/>
  <c r="EF87" i="1" s="1"/>
  <c r="CW140" i="1"/>
  <c r="DQ136" i="1"/>
  <c r="DG136" i="1"/>
  <c r="CF138" i="1"/>
  <c r="CW132" i="2"/>
  <c r="DX134" i="1"/>
  <c r="DE9" i="2"/>
  <c r="EE29" i="1"/>
  <c r="CD78" i="2"/>
  <c r="BZ134" i="1"/>
  <c r="EF22" i="1"/>
  <c r="BS24" i="1"/>
  <c r="EE35" i="1"/>
  <c r="BG13" i="1"/>
  <c r="EE13" i="1" s="1"/>
  <c r="BI136" i="2"/>
  <c r="AS142" i="2"/>
  <c r="BG107" i="2"/>
  <c r="EF42" i="1"/>
  <c r="EF69" i="1"/>
  <c r="DE60" i="1"/>
  <c r="EF60" i="1" s="1"/>
  <c r="DE10" i="2"/>
  <c r="BA131" i="1"/>
  <c r="DE51" i="1"/>
  <c r="EF51" i="1" s="1"/>
  <c r="DE72" i="1"/>
  <c r="EF72" i="1" s="1"/>
  <c r="BP50" i="1"/>
  <c r="BP131" i="1" s="1"/>
  <c r="DX130" i="2"/>
  <c r="DG136" i="2"/>
  <c r="BM78" i="2"/>
  <c r="BM132" i="2" s="1"/>
  <c r="DS130" i="2"/>
  <c r="BG39" i="2"/>
  <c r="DQ138" i="2"/>
  <c r="CH141" i="2"/>
  <c r="EE66" i="1"/>
  <c r="EF120" i="1"/>
  <c r="BG70" i="2"/>
  <c r="BY135" i="2"/>
  <c r="DE106" i="1"/>
  <c r="EF106" i="1" s="1"/>
  <c r="DZ50" i="1"/>
  <c r="BG71" i="1"/>
  <c r="BG75" i="1"/>
  <c r="EE75" i="1" s="1"/>
  <c r="BX138" i="1"/>
  <c r="DE96" i="2"/>
  <c r="DI130" i="2"/>
  <c r="DE121" i="2"/>
  <c r="BG72" i="2"/>
  <c r="BS138" i="2"/>
  <c r="DE102" i="2"/>
  <c r="DE28" i="2"/>
  <c r="BG105" i="2"/>
  <c r="DE67" i="2"/>
  <c r="DM50" i="1"/>
  <c r="BG39" i="1"/>
  <c r="EE39" i="1" s="1"/>
  <c r="DI134" i="1"/>
  <c r="AH135" i="1"/>
  <c r="CF139" i="1"/>
  <c r="EE60" i="1"/>
  <c r="DE104" i="1"/>
  <c r="EF104" i="1" s="1"/>
  <c r="CD135" i="1"/>
  <c r="CY131" i="1"/>
  <c r="BZ77" i="1"/>
  <c r="BZ139" i="2"/>
  <c r="BG108" i="2"/>
  <c r="BZ130" i="2"/>
  <c r="DE30" i="2"/>
  <c r="EE68" i="1"/>
  <c r="BG46" i="1"/>
  <c r="EE46" i="1" s="1"/>
  <c r="CN131" i="1"/>
  <c r="BS129" i="1"/>
  <c r="AK141" i="1"/>
  <c r="BA140" i="1"/>
  <c r="BA132" i="2"/>
  <c r="AH135" i="2"/>
  <c r="CZ141" i="2"/>
  <c r="DH98" i="2"/>
  <c r="DH132" i="2" s="1"/>
  <c r="AZ132" i="2"/>
  <c r="CN141" i="2"/>
  <c r="EE123" i="1"/>
  <c r="DW129" i="1"/>
  <c r="CY140" i="1"/>
  <c r="CY141" i="1" s="1"/>
  <c r="DE89" i="1"/>
  <c r="AY131" i="1"/>
  <c r="AY141" i="1" s="1"/>
  <c r="CF24" i="1"/>
  <c r="DE91" i="2"/>
  <c r="DV139" i="2"/>
  <c r="CF137" i="2"/>
  <c r="EF138" i="2" s="1"/>
  <c r="DW130" i="2"/>
  <c r="AI131" i="1"/>
  <c r="DW77" i="1"/>
  <c r="BB141" i="2"/>
  <c r="AI132" i="2"/>
  <c r="DK132" i="2"/>
  <c r="DE73" i="2"/>
  <c r="CG131" i="1"/>
  <c r="BG63" i="2"/>
  <c r="DW140" i="2"/>
  <c r="DE14" i="2"/>
  <c r="EB133" i="1"/>
  <c r="DE100" i="1"/>
  <c r="EF100" i="1" s="1"/>
  <c r="EB138" i="2"/>
  <c r="CD133" i="1"/>
  <c r="BG100" i="1"/>
  <c r="EE100" i="1" s="1"/>
  <c r="EE74" i="1"/>
  <c r="BG120" i="1"/>
  <c r="EE120" i="1" s="1"/>
  <c r="CM141" i="1"/>
  <c r="DX138" i="1"/>
  <c r="DX129" i="1"/>
  <c r="DX131" i="1" s="1"/>
  <c r="DE129" i="2"/>
  <c r="DG137" i="2"/>
  <c r="DE85" i="1"/>
  <c r="EF85" i="1" s="1"/>
  <c r="EB135" i="1"/>
  <c r="BY137" i="1"/>
  <c r="BY50" i="1"/>
  <c r="BY130" i="2"/>
  <c r="BY139" i="2"/>
  <c r="DU140" i="2"/>
  <c r="DU78" i="2"/>
  <c r="DU132" i="2" s="1"/>
  <c r="BY138" i="2"/>
  <c r="BG43" i="2"/>
  <c r="DE109" i="1"/>
  <c r="EF109" i="1" s="1"/>
  <c r="EB134" i="1"/>
  <c r="DU50" i="1"/>
  <c r="DU131" i="1" s="1"/>
  <c r="DU137" i="1"/>
  <c r="EB129" i="1"/>
  <c r="BK133" i="1"/>
  <c r="BN130" i="2"/>
  <c r="BN132" i="2" s="1"/>
  <c r="AG129" i="2"/>
  <c r="BF129" i="2" s="1"/>
  <c r="AH137" i="2"/>
  <c r="DE47" i="1"/>
  <c r="EF47" i="1" s="1"/>
  <c r="DG137" i="1"/>
  <c r="BG52" i="1"/>
  <c r="EE52" i="1" s="1"/>
  <c r="CF137" i="1"/>
  <c r="BY139" i="1"/>
  <c r="DW137" i="1"/>
  <c r="AO141" i="1"/>
  <c r="DX78" i="2"/>
  <c r="DE26" i="2"/>
  <c r="EA141" i="2"/>
  <c r="BC142" i="2"/>
  <c r="BG30" i="2"/>
  <c r="DE48" i="2"/>
  <c r="DG129" i="1"/>
  <c r="CD129" i="1"/>
  <c r="CR140" i="1"/>
  <c r="BX135" i="1"/>
  <c r="BG90" i="1"/>
  <c r="EE90" i="1" s="1"/>
  <c r="BG95" i="1"/>
  <c r="EE95" i="1" s="1"/>
  <c r="DW135" i="1"/>
  <c r="BG61" i="1"/>
  <c r="EE61" i="1" s="1"/>
  <c r="AQ141" i="1"/>
  <c r="BG69" i="1"/>
  <c r="EE69" i="1" s="1"/>
  <c r="EF27" i="1"/>
  <c r="EE65" i="1"/>
  <c r="BG17" i="1"/>
  <c r="EE17" i="1" s="1"/>
  <c r="CL141" i="1"/>
  <c r="CR131" i="1"/>
  <c r="DG130" i="2"/>
  <c r="BA141" i="2"/>
  <c r="EA130" i="2"/>
  <c r="EA132" i="2" s="1"/>
  <c r="AN142" i="2"/>
  <c r="DX140" i="2"/>
  <c r="DE68" i="2"/>
  <c r="BG44" i="2"/>
  <c r="DE50" i="2"/>
  <c r="BG69" i="2"/>
  <c r="EB51" i="2"/>
  <c r="DX139" i="2"/>
  <c r="BG48" i="2"/>
  <c r="CD51" i="2"/>
  <c r="BG18" i="2"/>
  <c r="AP132" i="2"/>
  <c r="AG112" i="2"/>
  <c r="BF112" i="2" s="1"/>
  <c r="CX141" i="2"/>
  <c r="BZ51" i="2"/>
  <c r="DZ140" i="1"/>
  <c r="EF115" i="1"/>
  <c r="BG63" i="1"/>
  <c r="EE63" i="1" s="1"/>
  <c r="DE64" i="2"/>
  <c r="BY140" i="2"/>
  <c r="CD138" i="2"/>
  <c r="DL134" i="1"/>
  <c r="DL140" i="1" s="1"/>
  <c r="AI140" i="1"/>
  <c r="DE90" i="1"/>
  <c r="EF90" i="1" s="1"/>
  <c r="DE101" i="1"/>
  <c r="EF101" i="1" s="1"/>
  <c r="EE54" i="1"/>
  <c r="DU139" i="1"/>
  <c r="CB140" i="1"/>
  <c r="CA135" i="1"/>
  <c r="DE46" i="1"/>
  <c r="EF46" i="1" s="1"/>
  <c r="BB132" i="2"/>
  <c r="BY136" i="2"/>
  <c r="BI130" i="2"/>
  <c r="BG57" i="2"/>
  <c r="AG35" i="2"/>
  <c r="BF35" i="2" s="1"/>
  <c r="AQ142" i="2"/>
  <c r="BG35" i="2"/>
  <c r="CR132" i="2"/>
  <c r="BI137" i="2"/>
  <c r="BK137" i="2"/>
  <c r="AS141" i="1"/>
  <c r="CO141" i="1"/>
  <c r="CJ140" i="1"/>
  <c r="BG55" i="1"/>
  <c r="EE55" i="1" s="1"/>
  <c r="BG94" i="2"/>
  <c r="CE115" i="1"/>
  <c r="DD115" i="1" s="1"/>
  <c r="AY141" i="2"/>
  <c r="CH140" i="1"/>
  <c r="BI129" i="1"/>
  <c r="BG72" i="1"/>
  <c r="EE72" i="1" s="1"/>
  <c r="CD137" i="1"/>
  <c r="BE131" i="1"/>
  <c r="CJ131" i="1"/>
  <c r="AT131" i="1"/>
  <c r="DW139" i="1"/>
  <c r="AO142" i="2"/>
  <c r="CD136" i="2"/>
  <c r="EB136" i="2"/>
  <c r="AL132" i="2"/>
  <c r="CR141" i="2"/>
  <c r="BG50" i="2"/>
  <c r="EB135" i="2"/>
  <c r="DV136" i="2"/>
  <c r="AT132" i="2"/>
  <c r="AT142" i="2" s="1"/>
  <c r="BZ78" i="2"/>
  <c r="DW78" i="2"/>
  <c r="BG28" i="2"/>
  <c r="BG61" i="2"/>
  <c r="DE43" i="2"/>
  <c r="BE132" i="2"/>
  <c r="AG56" i="2"/>
  <c r="BF56" i="2" s="1"/>
  <c r="EF56" i="1"/>
  <c r="CW131" i="1"/>
  <c r="CW141" i="1" s="1"/>
  <c r="AZ141" i="2"/>
  <c r="EB98" i="2"/>
  <c r="BK129" i="1"/>
  <c r="CD50" i="1"/>
  <c r="BK135" i="2"/>
  <c r="EB140" i="2"/>
  <c r="CF139" i="2"/>
  <c r="EF140" i="2" s="1"/>
  <c r="EF128" i="1"/>
  <c r="DE119" i="1"/>
  <c r="EF119" i="1" s="1"/>
  <c r="BG114" i="1"/>
  <c r="EE114" i="1" s="1"/>
  <c r="CN140" i="1"/>
  <c r="BD141" i="1"/>
  <c r="CX131" i="1"/>
  <c r="CQ141" i="1"/>
  <c r="CH131" i="1"/>
  <c r="BG42" i="1"/>
  <c r="EE42" i="1" s="1"/>
  <c r="AW141" i="1"/>
  <c r="CF136" i="1"/>
  <c r="AH137" i="1"/>
  <c r="EB137" i="1"/>
  <c r="BI137" i="1"/>
  <c r="DP141" i="2"/>
  <c r="CG132" i="2"/>
  <c r="CJ141" i="2"/>
  <c r="CD135" i="2"/>
  <c r="BK130" i="2"/>
  <c r="CY141" i="2"/>
  <c r="CN132" i="2"/>
  <c r="BG114" i="2"/>
  <c r="DW138" i="2"/>
  <c r="AR142" i="2"/>
  <c r="DW51" i="2"/>
  <c r="DE61" i="2"/>
  <c r="AI141" i="2"/>
  <c r="BM141" i="2"/>
  <c r="CE96" i="2"/>
  <c r="DD96" i="2" s="1"/>
  <c r="CE86" i="2"/>
  <c r="DD86" i="2" s="1"/>
  <c r="BG64" i="2"/>
  <c r="CD140" i="2"/>
  <c r="CE87" i="2"/>
  <c r="DD87" i="2" s="1"/>
  <c r="AG80" i="2"/>
  <c r="BF80" i="2" s="1"/>
  <c r="I80" i="2"/>
  <c r="CE59" i="2"/>
  <c r="DD59" i="2" s="1"/>
  <c r="CE115" i="2"/>
  <c r="DD115" i="2" s="1"/>
  <c r="AG88" i="2"/>
  <c r="BF88" i="2" s="1"/>
  <c r="CE40" i="2"/>
  <c r="DD40" i="2" s="1"/>
  <c r="DG138" i="2"/>
  <c r="DG140" i="2"/>
  <c r="DG78" i="2"/>
  <c r="DE52" i="2"/>
  <c r="DE44" i="2"/>
  <c r="AG81" i="2"/>
  <c r="BF81" i="2" s="1"/>
  <c r="BP138" i="2"/>
  <c r="BP51" i="2"/>
  <c r="BP132" i="2" s="1"/>
  <c r="DE114" i="2"/>
  <c r="AG30" i="2"/>
  <c r="BF30" i="2" s="1"/>
  <c r="I74" i="2"/>
  <c r="CE36" i="2"/>
  <c r="DD36" i="2" s="1"/>
  <c r="DL130" i="2"/>
  <c r="DL132" i="2" s="1"/>
  <c r="CE24" i="2"/>
  <c r="CB132" i="2"/>
  <c r="EB78" i="2"/>
  <c r="AG27" i="2"/>
  <c r="BF27" i="2" s="1"/>
  <c r="CE58" i="2"/>
  <c r="DD58" i="2" s="1"/>
  <c r="AG47" i="2"/>
  <c r="BF47" i="2" s="1"/>
  <c r="CE29" i="2"/>
  <c r="DD29" i="2" s="1"/>
  <c r="BG14" i="2"/>
  <c r="AG59" i="2"/>
  <c r="BF59" i="2" s="1"/>
  <c r="BI138" i="2"/>
  <c r="CE101" i="2"/>
  <c r="DD101" i="2" s="1"/>
  <c r="DH136" i="2"/>
  <c r="DH141" i="2" s="1"/>
  <c r="AG92" i="2"/>
  <c r="BF92" i="2" s="1"/>
  <c r="I128" i="2"/>
  <c r="CE128" i="2"/>
  <c r="DD128" i="2" s="1"/>
  <c r="AA141" i="2"/>
  <c r="CE105" i="2"/>
  <c r="DD105" i="2" s="1"/>
  <c r="I105" i="2"/>
  <c r="AL141" i="2"/>
  <c r="AG64" i="2"/>
  <c r="BF64" i="2" s="1"/>
  <c r="AG87" i="2"/>
  <c r="BF87" i="2" s="1"/>
  <c r="DV98" i="2"/>
  <c r="I63" i="2"/>
  <c r="CF51" i="2"/>
  <c r="CE26" i="2"/>
  <c r="DD26" i="2" s="1"/>
  <c r="DF135" i="2"/>
  <c r="DY98" i="2"/>
  <c r="DY132" i="2" s="1"/>
  <c r="DE103" i="2"/>
  <c r="CF88" i="2"/>
  <c r="CX98" i="2"/>
  <c r="CX132" i="2" s="1"/>
  <c r="DW88" i="2"/>
  <c r="DE88" i="2" s="1"/>
  <c r="DN138" i="2"/>
  <c r="DN141" i="2" s="1"/>
  <c r="DN51" i="2"/>
  <c r="DN132" i="2" s="1"/>
  <c r="BS25" i="2"/>
  <c r="DT138" i="2"/>
  <c r="DT141" i="2" s="1"/>
  <c r="DT51" i="2"/>
  <c r="DT132" i="2" s="1"/>
  <c r="CE49" i="2"/>
  <c r="DD49" i="2" s="1"/>
  <c r="BL132" i="2"/>
  <c r="I61" i="2"/>
  <c r="M132" i="2"/>
  <c r="AY132" i="2"/>
  <c r="CE48" i="2"/>
  <c r="DD48" i="2" s="1"/>
  <c r="BY51" i="2"/>
  <c r="BG59" i="2"/>
  <c r="AG32" i="2"/>
  <c r="BF32" i="2" s="1"/>
  <c r="DS132" i="2"/>
  <c r="DE86" i="2"/>
  <c r="AG54" i="2"/>
  <c r="BF54" i="2" s="1"/>
  <c r="DE18" i="2"/>
  <c r="CD134" i="2"/>
  <c r="CD130" i="2"/>
  <c r="CF136" i="2"/>
  <c r="EF137" i="2" s="1"/>
  <c r="I46" i="2"/>
  <c r="AH139" i="2"/>
  <c r="AH25" i="2"/>
  <c r="AG7" i="2"/>
  <c r="BF7" i="2" s="1"/>
  <c r="BI135" i="2"/>
  <c r="BG102" i="2"/>
  <c r="I84" i="2"/>
  <c r="I29" i="2"/>
  <c r="AG18" i="2"/>
  <c r="BF18" i="2" s="1"/>
  <c r="BI139" i="2"/>
  <c r="BI25" i="2"/>
  <c r="AF132" i="2"/>
  <c r="CE10" i="2"/>
  <c r="DD10" i="2" s="1"/>
  <c r="BQ138" i="2"/>
  <c r="BQ141" i="2" s="1"/>
  <c r="BQ51" i="2"/>
  <c r="BQ132" i="2" s="1"/>
  <c r="CE35" i="2"/>
  <c r="DD35" i="2" s="1"/>
  <c r="CE73" i="2"/>
  <c r="DD73" i="2" s="1"/>
  <c r="DR141" i="2"/>
  <c r="DE117" i="2"/>
  <c r="BL141" i="2"/>
  <c r="BG116" i="2"/>
  <c r="CE124" i="2"/>
  <c r="DD124" i="2" s="1"/>
  <c r="DI134" i="2"/>
  <c r="I94" i="2"/>
  <c r="BK134" i="2"/>
  <c r="I69" i="2"/>
  <c r="BG7" i="2"/>
  <c r="AG57" i="2"/>
  <c r="BF57" i="2" s="1"/>
  <c r="CE46" i="2"/>
  <c r="DD46" i="2" s="1"/>
  <c r="I7" i="2"/>
  <c r="G25" i="2"/>
  <c r="EE25" i="2" s="1"/>
  <c r="CD139" i="2"/>
  <c r="CD25" i="2"/>
  <c r="I49" i="2"/>
  <c r="I28" i="2"/>
  <c r="DR132" i="2"/>
  <c r="M141" i="2"/>
  <c r="CE106" i="2"/>
  <c r="DD106" i="2" s="1"/>
  <c r="CG141" i="2"/>
  <c r="CF134" i="2"/>
  <c r="EF135" i="2" s="1"/>
  <c r="K141" i="2"/>
  <c r="K142" i="2" s="1"/>
  <c r="CE93" i="2"/>
  <c r="DD93" i="2" s="1"/>
  <c r="DE84" i="2"/>
  <c r="BX98" i="2"/>
  <c r="BX132" i="2" s="1"/>
  <c r="I122" i="2"/>
  <c r="CD98" i="2"/>
  <c r="DX51" i="2"/>
  <c r="CJ132" i="2"/>
  <c r="BX139" i="2"/>
  <c r="BG104" i="2"/>
  <c r="BH136" i="2"/>
  <c r="BG79" i="2"/>
  <c r="BH98" i="2"/>
  <c r="I50" i="2"/>
  <c r="CF78" i="2"/>
  <c r="CE52" i="2"/>
  <c r="DD52" i="2" s="1"/>
  <c r="BV138" i="2"/>
  <c r="BV141" i="2" s="1"/>
  <c r="BV51" i="2"/>
  <c r="BV132" i="2" s="1"/>
  <c r="AG63" i="2"/>
  <c r="BF63" i="2" s="1"/>
  <c r="BS51" i="2"/>
  <c r="X142" i="2"/>
  <c r="AG97" i="2"/>
  <c r="BF97" i="2" s="1"/>
  <c r="DE39" i="2"/>
  <c r="CE120" i="2"/>
  <c r="DD120" i="2" s="1"/>
  <c r="I14" i="2"/>
  <c r="DV25" i="2"/>
  <c r="DE24" i="2"/>
  <c r="I19" i="2"/>
  <c r="AG19" i="2"/>
  <c r="BF19" i="2" s="1"/>
  <c r="CE19" i="2"/>
  <c r="DD19" i="2" s="1"/>
  <c r="DG139" i="2"/>
  <c r="DG25" i="2"/>
  <c r="DE7" i="2"/>
  <c r="I62" i="2"/>
  <c r="AG62" i="2"/>
  <c r="BF62" i="2" s="1"/>
  <c r="BT132" i="2"/>
  <c r="AG125" i="2"/>
  <c r="BF125" i="2" s="1"/>
  <c r="G51" i="2"/>
  <c r="EE51" i="2" s="1"/>
  <c r="I26" i="2"/>
  <c r="CE17" i="2"/>
  <c r="DD17" i="2" s="1"/>
  <c r="I17" i="2"/>
  <c r="AG50" i="2"/>
  <c r="BF50" i="2" s="1"/>
  <c r="AJ141" i="2"/>
  <c r="DE62" i="2"/>
  <c r="CE117" i="2"/>
  <c r="DD117" i="2" s="1"/>
  <c r="CE90" i="2"/>
  <c r="DD90" i="2" s="1"/>
  <c r="I73" i="2"/>
  <c r="CE37" i="2"/>
  <c r="DD37" i="2" s="1"/>
  <c r="DY136" i="2"/>
  <c r="DY141" i="2" s="1"/>
  <c r="CF130" i="2"/>
  <c r="AG43" i="2"/>
  <c r="BF43" i="2" s="1"/>
  <c r="EB139" i="2"/>
  <c r="EB25" i="2"/>
  <c r="AH138" i="2"/>
  <c r="AH51" i="2"/>
  <c r="AG26" i="2"/>
  <c r="BF26" i="2" s="1"/>
  <c r="BN141" i="2"/>
  <c r="CW141" i="2"/>
  <c r="I107" i="2"/>
  <c r="AG107" i="2"/>
  <c r="BF107" i="2" s="1"/>
  <c r="I101" i="2"/>
  <c r="AG72" i="2"/>
  <c r="BF72" i="2" s="1"/>
  <c r="CE107" i="2"/>
  <c r="DD107" i="2" s="1"/>
  <c r="DE124" i="2"/>
  <c r="AH136" i="2"/>
  <c r="AH98" i="2"/>
  <c r="AG79" i="2"/>
  <c r="BF79" i="2" s="1"/>
  <c r="AJ132" i="2"/>
  <c r="CE129" i="2"/>
  <c r="EB134" i="2"/>
  <c r="EB130" i="2"/>
  <c r="BX136" i="2"/>
  <c r="I86" i="2"/>
  <c r="AG86" i="2"/>
  <c r="BF86" i="2" s="1"/>
  <c r="I124" i="2"/>
  <c r="DF136" i="2"/>
  <c r="DE79" i="2"/>
  <c r="DF98" i="2"/>
  <c r="DG51" i="2"/>
  <c r="CE28" i="2"/>
  <c r="DD28" i="2" s="1"/>
  <c r="CY132" i="2"/>
  <c r="AG102" i="2"/>
  <c r="BF102" i="2" s="1"/>
  <c r="I53" i="2"/>
  <c r="AG53" i="2"/>
  <c r="BF53" i="2" s="1"/>
  <c r="CE123" i="2"/>
  <c r="DD123" i="2" s="1"/>
  <c r="DJ134" i="2"/>
  <c r="DJ141" i="2" s="1"/>
  <c r="DJ130" i="2"/>
  <c r="DJ132" i="2" s="1"/>
  <c r="CC141" i="2"/>
  <c r="AG123" i="2"/>
  <c r="BF123" i="2" s="1"/>
  <c r="CF140" i="2"/>
  <c r="EF141" i="2" s="1"/>
  <c r="CE102" i="2"/>
  <c r="DD102" i="2" s="1"/>
  <c r="CE110" i="2"/>
  <c r="DD110" i="2" s="1"/>
  <c r="I110" i="2"/>
  <c r="AH134" i="2"/>
  <c r="CE119" i="2"/>
  <c r="DD119" i="2" s="1"/>
  <c r="CA136" i="2"/>
  <c r="CA141" i="2" s="1"/>
  <c r="CA98" i="2"/>
  <c r="CA132" i="2" s="1"/>
  <c r="AG105" i="2"/>
  <c r="BF105" i="2" s="1"/>
  <c r="AG122" i="2"/>
  <c r="BF122" i="2" s="1"/>
  <c r="AG44" i="2"/>
  <c r="BF44" i="2" s="1"/>
  <c r="I79" i="2"/>
  <c r="G98" i="2"/>
  <c r="EE98" i="2" s="1"/>
  <c r="CE56" i="2"/>
  <c r="DD56" i="2" s="1"/>
  <c r="BI140" i="2"/>
  <c r="BI78" i="2"/>
  <c r="BG52" i="2"/>
  <c r="I30" i="2"/>
  <c r="DK141" i="2"/>
  <c r="I45" i="2"/>
  <c r="BG55" i="2"/>
  <c r="BG127" i="2"/>
  <c r="CE45" i="2"/>
  <c r="DD45" i="2" s="1"/>
  <c r="CF135" i="2"/>
  <c r="EF136" i="2" s="1"/>
  <c r="DZ132" i="2"/>
  <c r="AG74" i="2"/>
  <c r="BF74" i="2" s="1"/>
  <c r="CH132" i="2"/>
  <c r="CE23" i="2"/>
  <c r="DD23" i="2" s="1"/>
  <c r="AG23" i="2"/>
  <c r="BF23" i="2" s="1"/>
  <c r="I23" i="2"/>
  <c r="BF77" i="2"/>
  <c r="I77" i="2"/>
  <c r="DM138" i="2"/>
  <c r="DM141" i="2" s="1"/>
  <c r="DM51" i="2"/>
  <c r="DM132" i="2" s="1"/>
  <c r="I43" i="2"/>
  <c r="BI51" i="2"/>
  <c r="CE62" i="2"/>
  <c r="DD62" i="2" s="1"/>
  <c r="BG9" i="2"/>
  <c r="DX25" i="2"/>
  <c r="AG126" i="2"/>
  <c r="BF126" i="2" s="1"/>
  <c r="AG115" i="2"/>
  <c r="BF115" i="2" s="1"/>
  <c r="I102" i="2"/>
  <c r="BG99" i="2"/>
  <c r="I55" i="2"/>
  <c r="I115" i="2"/>
  <c r="AG55" i="2"/>
  <c r="BF55" i="2" s="1"/>
  <c r="CE81" i="2"/>
  <c r="DD81" i="2" s="1"/>
  <c r="DQ25" i="2"/>
  <c r="DQ132" i="2" s="1"/>
  <c r="BE141" i="2"/>
  <c r="AG84" i="2"/>
  <c r="BF84" i="2" s="1"/>
  <c r="DF134" i="2"/>
  <c r="DF130" i="2"/>
  <c r="DE99" i="2"/>
  <c r="AG89" i="2"/>
  <c r="BF89" i="2" s="1"/>
  <c r="AG120" i="2"/>
  <c r="BF120" i="2" s="1"/>
  <c r="BR141" i="2"/>
  <c r="DE94" i="2"/>
  <c r="CE80" i="2"/>
  <c r="DD80" i="2" s="1"/>
  <c r="AG85" i="2"/>
  <c r="BF85" i="2" s="1"/>
  <c r="CE64" i="2"/>
  <c r="DD64" i="2" s="1"/>
  <c r="CE61" i="2"/>
  <c r="DD61" i="2" s="1"/>
  <c r="DO138" i="2"/>
  <c r="DO141" i="2" s="1"/>
  <c r="DO51" i="2"/>
  <c r="DS141" i="2"/>
  <c r="I64" i="2"/>
  <c r="BK25" i="2"/>
  <c r="AG73" i="2"/>
  <c r="BF73" i="2" s="1"/>
  <c r="I41" i="2"/>
  <c r="I8" i="2"/>
  <c r="AG8" i="2"/>
  <c r="BF8" i="2" s="1"/>
  <c r="CE8" i="2"/>
  <c r="DD8" i="2" s="1"/>
  <c r="I127" i="2"/>
  <c r="CE127" i="2"/>
  <c r="DD127" i="2" s="1"/>
  <c r="AF141" i="2"/>
  <c r="CE91" i="2"/>
  <c r="DD91" i="2" s="1"/>
  <c r="CE114" i="2"/>
  <c r="DD114" i="2" s="1"/>
  <c r="CE57" i="2"/>
  <c r="DD57" i="2" s="1"/>
  <c r="CE84" i="2"/>
  <c r="DD84" i="2" s="1"/>
  <c r="CE50" i="2"/>
  <c r="CE42" i="2"/>
  <c r="DD42" i="2" s="1"/>
  <c r="AH140" i="2"/>
  <c r="BD142" i="2"/>
  <c r="AG14" i="2"/>
  <c r="BF14" i="2" s="1"/>
  <c r="DG135" i="2"/>
  <c r="DE104" i="2"/>
  <c r="BU130" i="2"/>
  <c r="BU132" i="2" s="1"/>
  <c r="BU134" i="2"/>
  <c r="BU141" i="2" s="1"/>
  <c r="CE108" i="2"/>
  <c r="DD108" i="2" s="1"/>
  <c r="I108" i="2"/>
  <c r="I117" i="2"/>
  <c r="AG117" i="2"/>
  <c r="BF117" i="2" s="1"/>
  <c r="AG101" i="2"/>
  <c r="BF101" i="2" s="1"/>
  <c r="AG76" i="2"/>
  <c r="BF76" i="2" s="1"/>
  <c r="BW141" i="2"/>
  <c r="DC141" i="2"/>
  <c r="I97" i="2"/>
  <c r="AH130" i="2"/>
  <c r="I72" i="2"/>
  <c r="CE72" i="2"/>
  <c r="DD72" i="2" s="1"/>
  <c r="DE119" i="2"/>
  <c r="BY98" i="2"/>
  <c r="CE74" i="2"/>
  <c r="DD74" i="2" s="1"/>
  <c r="DE59" i="2"/>
  <c r="CE94" i="2"/>
  <c r="DD94" i="2" s="1"/>
  <c r="CE121" i="2"/>
  <c r="DD121" i="2" s="1"/>
  <c r="AH78" i="2"/>
  <c r="I114" i="2"/>
  <c r="I104" i="2"/>
  <c r="AG104" i="2"/>
  <c r="BF104" i="2" s="1"/>
  <c r="G78" i="2"/>
  <c r="EE78" i="2" s="1"/>
  <c r="I52" i="2"/>
  <c r="AG52" i="2"/>
  <c r="BF52" i="2" s="1"/>
  <c r="AG94" i="2"/>
  <c r="BF94" i="2" s="1"/>
  <c r="AA132" i="2"/>
  <c r="CF138" i="2"/>
  <c r="EF139" i="2" s="1"/>
  <c r="BI134" i="2"/>
  <c r="CE67" i="2"/>
  <c r="DD67" i="2" s="1"/>
  <c r="I59" i="2"/>
  <c r="AG49" i="2"/>
  <c r="BF49" i="2" s="1"/>
  <c r="I35" i="2"/>
  <c r="AG127" i="2"/>
  <c r="BF127" i="2" s="1"/>
  <c r="DE45" i="2"/>
  <c r="BJ132" i="2"/>
  <c r="CE14" i="2"/>
  <c r="DD14" i="2" s="1"/>
  <c r="CE7" i="2"/>
  <c r="DD7" i="2" s="1"/>
  <c r="CF25" i="2"/>
  <c r="CE79" i="2"/>
  <c r="DD79" i="2" s="1"/>
  <c r="AG37" i="2"/>
  <c r="BF37" i="2" s="1"/>
  <c r="BO138" i="2"/>
  <c r="BO141" i="2" s="1"/>
  <c r="BO51" i="2"/>
  <c r="BG26" i="2"/>
  <c r="AG28" i="2"/>
  <c r="BF28" i="2" s="1"/>
  <c r="DC132" i="2"/>
  <c r="AG46" i="2"/>
  <c r="BF46" i="2" s="1"/>
  <c r="J141" i="1"/>
  <c r="DL131" i="1"/>
  <c r="EF98" i="1"/>
  <c r="CE106" i="1"/>
  <c r="DD106" i="1" s="1"/>
  <c r="EF71" i="1"/>
  <c r="CE71" i="1"/>
  <c r="DD71" i="1" s="1"/>
  <c r="CE113" i="1"/>
  <c r="DD113" i="1" s="1"/>
  <c r="AH77" i="1"/>
  <c r="AG51" i="1"/>
  <c r="BF51" i="1" s="1"/>
  <c r="AH139" i="1"/>
  <c r="BY138" i="1"/>
  <c r="BY24" i="1"/>
  <c r="AG45" i="1"/>
  <c r="BF45" i="1" s="1"/>
  <c r="CC140" i="1"/>
  <c r="BS137" i="1"/>
  <c r="CD134" i="1"/>
  <c r="DW138" i="1"/>
  <c r="DW24" i="1"/>
  <c r="DP140" i="1"/>
  <c r="DP141" i="1" s="1"/>
  <c r="AG67" i="1"/>
  <c r="BF67" i="1" s="1"/>
  <c r="AG55" i="1"/>
  <c r="BF55" i="1" s="1"/>
  <c r="EF74" i="1"/>
  <c r="CE74" i="1"/>
  <c r="DD74" i="1" s="1"/>
  <c r="EB136" i="1"/>
  <c r="DG135" i="1"/>
  <c r="AF131" i="1"/>
  <c r="BG49" i="1"/>
  <c r="EE49" i="1" s="1"/>
  <c r="DM137" i="1"/>
  <c r="BR131" i="1"/>
  <c r="CF134" i="1"/>
  <c r="BJ135" i="1"/>
  <c r="BJ140" i="1" s="1"/>
  <c r="AJ140" i="1"/>
  <c r="DQ137" i="1"/>
  <c r="CE121" i="1"/>
  <c r="DD121" i="1" s="1"/>
  <c r="EF121" i="1"/>
  <c r="BG109" i="1"/>
  <c r="EE109" i="1" s="1"/>
  <c r="BI139" i="1"/>
  <c r="BI77" i="1"/>
  <c r="BG51" i="1"/>
  <c r="I43" i="1"/>
  <c r="ED43" i="1"/>
  <c r="CF50" i="1"/>
  <c r="CE25" i="1"/>
  <c r="DD25" i="1" s="1"/>
  <c r="DO137" i="1"/>
  <c r="DO140" i="1" s="1"/>
  <c r="DO50" i="1"/>
  <c r="BJ131" i="1"/>
  <c r="I125" i="1"/>
  <c r="ED125" i="1"/>
  <c r="EE104" i="1"/>
  <c r="AG104" i="1"/>
  <c r="BF104" i="1" s="1"/>
  <c r="CE104" i="1"/>
  <c r="DD104" i="1" s="1"/>
  <c r="AL140" i="1"/>
  <c r="BM140" i="1"/>
  <c r="DE113" i="1"/>
  <c r="EF113" i="1" s="1"/>
  <c r="ED106" i="1"/>
  <c r="I106" i="1"/>
  <c r="DM134" i="1"/>
  <c r="BV140" i="1"/>
  <c r="CE112" i="1"/>
  <c r="DD112" i="1" s="1"/>
  <c r="CZ135" i="1"/>
  <c r="CZ140" i="1" s="1"/>
  <c r="AG117" i="1"/>
  <c r="BF117" i="1" s="1"/>
  <c r="EE117" i="1"/>
  <c r="DF129" i="1"/>
  <c r="BG94" i="1"/>
  <c r="EE94" i="1" s="1"/>
  <c r="BH135" i="1"/>
  <c r="BH97" i="1"/>
  <c r="BG78" i="1"/>
  <c r="DN140" i="1"/>
  <c r="DN141" i="1" s="1"/>
  <c r="DI135" i="1"/>
  <c r="EA140" i="1"/>
  <c r="BG106" i="1"/>
  <c r="EE106" i="1" s="1"/>
  <c r="BG89" i="1"/>
  <c r="EE89" i="1" s="1"/>
  <c r="EE83" i="1"/>
  <c r="AG83" i="1"/>
  <c r="BF83" i="1" s="1"/>
  <c r="I71" i="1"/>
  <c r="ED71" i="1"/>
  <c r="I124" i="1"/>
  <c r="ED124" i="1"/>
  <c r="AZ140" i="1"/>
  <c r="AZ141" i="1" s="1"/>
  <c r="ED91" i="1"/>
  <c r="I91" i="1"/>
  <c r="BX97" i="1"/>
  <c r="EF57" i="1"/>
  <c r="CE57" i="1"/>
  <c r="DD57" i="1" s="1"/>
  <c r="I34" i="1"/>
  <c r="ED34" i="1"/>
  <c r="AG34" i="1"/>
  <c r="BF34" i="1" s="1"/>
  <c r="AR141" i="1"/>
  <c r="DV97" i="1"/>
  <c r="DV131" i="1" s="1"/>
  <c r="I76" i="1"/>
  <c r="ED76" i="1"/>
  <c r="DG139" i="1"/>
  <c r="DG77" i="1"/>
  <c r="BT131" i="1"/>
  <c r="DC131" i="1"/>
  <c r="U131" i="1"/>
  <c r="U141" i="1" s="1"/>
  <c r="DE13" i="1"/>
  <c r="EF13" i="1" s="1"/>
  <c r="DT137" i="1"/>
  <c r="DT140" i="1" s="1"/>
  <c r="DT50" i="1"/>
  <c r="DT131" i="1" s="1"/>
  <c r="CA97" i="1"/>
  <c r="CA131" i="1" s="1"/>
  <c r="CA140" i="1"/>
  <c r="DQ138" i="1"/>
  <c r="AH50" i="1"/>
  <c r="DQ50" i="1"/>
  <c r="AG39" i="1"/>
  <c r="BF39" i="1" s="1"/>
  <c r="DG138" i="1"/>
  <c r="DG24" i="1"/>
  <c r="ED11" i="1"/>
  <c r="I11" i="1"/>
  <c r="CE11" i="1"/>
  <c r="DD11" i="1" s="1"/>
  <c r="AG11" i="1"/>
  <c r="BF11" i="1" s="1"/>
  <c r="DF97" i="1"/>
  <c r="I118" i="1"/>
  <c r="ED118" i="1"/>
  <c r="AG120" i="1"/>
  <c r="BF120" i="1" s="1"/>
  <c r="EF107" i="1"/>
  <c r="CE107" i="1"/>
  <c r="DD107" i="1" s="1"/>
  <c r="BN134" i="1"/>
  <c r="BN140" i="1" s="1"/>
  <c r="EF78" i="1"/>
  <c r="CE78" i="1"/>
  <c r="DD78" i="1" s="1"/>
  <c r="ED68" i="1"/>
  <c r="I68" i="1"/>
  <c r="CE117" i="1"/>
  <c r="DD117" i="1" s="1"/>
  <c r="EF117" i="1"/>
  <c r="ED60" i="1"/>
  <c r="I60" i="1"/>
  <c r="EE36" i="1"/>
  <c r="AG36" i="1"/>
  <c r="BF36" i="1" s="1"/>
  <c r="BI136" i="1"/>
  <c r="EE116" i="1"/>
  <c r="AG116" i="1"/>
  <c r="BF116" i="1" s="1"/>
  <c r="AG106" i="1"/>
  <c r="BF106" i="1" s="1"/>
  <c r="AG101" i="1"/>
  <c r="BF101" i="1" s="1"/>
  <c r="I108" i="1"/>
  <c r="AG108" i="1"/>
  <c r="BF108" i="1" s="1"/>
  <c r="ED108" i="1"/>
  <c r="CE88" i="1"/>
  <c r="DD88" i="1" s="1"/>
  <c r="EF88" i="1"/>
  <c r="ED63" i="1"/>
  <c r="I63" i="1"/>
  <c r="EE56" i="1"/>
  <c r="AG56" i="1"/>
  <c r="BF56" i="1" s="1"/>
  <c r="I25" i="1"/>
  <c r="G50" i="1"/>
  <c r="ED50" i="1" s="1"/>
  <c r="ED25" i="1"/>
  <c r="CD139" i="1"/>
  <c r="ED49" i="1"/>
  <c r="I49" i="1"/>
  <c r="DA141" i="1"/>
  <c r="BY134" i="1"/>
  <c r="BU133" i="1"/>
  <c r="BU140" i="1" s="1"/>
  <c r="BU129" i="1"/>
  <c r="BU131" i="1" s="1"/>
  <c r="CZ97" i="1"/>
  <c r="CZ131" i="1" s="1"/>
  <c r="ED104" i="1"/>
  <c r="I104" i="1"/>
  <c r="EE44" i="1"/>
  <c r="AG44" i="1"/>
  <c r="BF44" i="1" s="1"/>
  <c r="I32" i="1"/>
  <c r="CE32" i="1"/>
  <c r="DD32" i="1" s="1"/>
  <c r="ED32" i="1"/>
  <c r="EE128" i="1"/>
  <c r="AG128" i="1"/>
  <c r="BF128" i="1" s="1"/>
  <c r="AG118" i="1"/>
  <c r="BF118" i="1" s="1"/>
  <c r="EE118" i="1"/>
  <c r="CE83" i="1"/>
  <c r="DD83" i="1" s="1"/>
  <c r="EF83" i="1"/>
  <c r="DY135" i="1"/>
  <c r="DY140" i="1" s="1"/>
  <c r="DY97" i="1"/>
  <c r="DY131" i="1" s="1"/>
  <c r="I94" i="1"/>
  <c r="ED94" i="1"/>
  <c r="CE94" i="1"/>
  <c r="DD94" i="1" s="1"/>
  <c r="G129" i="1"/>
  <c r="ED129" i="1" s="1"/>
  <c r="ED98" i="1"/>
  <c r="I98" i="1"/>
  <c r="BN129" i="1"/>
  <c r="BN131" i="1" s="1"/>
  <c r="I45" i="1"/>
  <c r="ED45" i="1"/>
  <c r="DR131" i="1"/>
  <c r="DR141" i="1" s="1"/>
  <c r="CD138" i="1"/>
  <c r="CD24" i="1"/>
  <c r="CE46" i="1"/>
  <c r="DD46" i="1" s="1"/>
  <c r="I44" i="1"/>
  <c r="ED44" i="1"/>
  <c r="AG68" i="1"/>
  <c r="BF68" i="1" s="1"/>
  <c r="DE49" i="1"/>
  <c r="EF49" i="1" s="1"/>
  <c r="I119" i="1"/>
  <c r="ED119" i="1"/>
  <c r="CG140" i="1"/>
  <c r="CF133" i="1"/>
  <c r="AP140" i="1"/>
  <c r="EF118" i="1"/>
  <c r="CE118" i="1"/>
  <c r="DD118" i="1" s="1"/>
  <c r="AG126" i="1"/>
  <c r="BF126" i="1" s="1"/>
  <c r="BO134" i="1"/>
  <c r="BT133" i="1"/>
  <c r="BT140" i="1" s="1"/>
  <c r="ED96" i="1"/>
  <c r="I96" i="1"/>
  <c r="BY135" i="1"/>
  <c r="BY97" i="1"/>
  <c r="DF135" i="1"/>
  <c r="DI133" i="1"/>
  <c r="DI129" i="1"/>
  <c r="DI131" i="1" s="1"/>
  <c r="AG119" i="1"/>
  <c r="BF119" i="1" s="1"/>
  <c r="EA129" i="1"/>
  <c r="AG95" i="1"/>
  <c r="BF95" i="1" s="1"/>
  <c r="DW133" i="1"/>
  <c r="EB139" i="1"/>
  <c r="EB77" i="1"/>
  <c r="ED69" i="1"/>
  <c r="I69" i="1"/>
  <c r="CE69" i="1"/>
  <c r="DD69" i="1" s="1"/>
  <c r="BI50" i="1"/>
  <c r="I42" i="1"/>
  <c r="ED42" i="1"/>
  <c r="AG42" i="1"/>
  <c r="BF42" i="1" s="1"/>
  <c r="AG18" i="1"/>
  <c r="BF18" i="1" s="1"/>
  <c r="ED18" i="1"/>
  <c r="I18" i="1"/>
  <c r="ED37" i="1"/>
  <c r="CE37" i="1"/>
  <c r="DD37" i="1" s="1"/>
  <c r="AA131" i="1"/>
  <c r="AA141" i="1" s="1"/>
  <c r="ED73" i="1"/>
  <c r="I73" i="1"/>
  <c r="DV136" i="1"/>
  <c r="DV140" i="1" s="1"/>
  <c r="CU141" i="1"/>
  <c r="M131" i="1"/>
  <c r="AH136" i="1"/>
  <c r="CE42" i="1"/>
  <c r="DD42" i="1" s="1"/>
  <c r="AG93" i="1"/>
  <c r="BF93" i="1" s="1"/>
  <c r="EE93" i="1"/>
  <c r="CE66" i="1"/>
  <c r="DD66" i="1" s="1"/>
  <c r="CE60" i="1"/>
  <c r="DD60" i="1" s="1"/>
  <c r="DE25" i="1"/>
  <c r="EF25" i="1" s="1"/>
  <c r="AG32" i="1"/>
  <c r="BF32" i="1" s="1"/>
  <c r="AE141" i="1"/>
  <c r="AJ131" i="1"/>
  <c r="BH133" i="1"/>
  <c r="BH129" i="1"/>
  <c r="BH131" i="1" s="1"/>
  <c r="BG98" i="1"/>
  <c r="EE98" i="1" s="1"/>
  <c r="EF48" i="1"/>
  <c r="CE48" i="1"/>
  <c r="DD48" i="1" s="1"/>
  <c r="CE62" i="1"/>
  <c r="DD62" i="1" s="1"/>
  <c r="EA131" i="1"/>
  <c r="CE39" i="1"/>
  <c r="DD39" i="1" s="1"/>
  <c r="EF39" i="1"/>
  <c r="AH129" i="1"/>
  <c r="AH133" i="1"/>
  <c r="AG98" i="1"/>
  <c r="BF98" i="1" s="1"/>
  <c r="BG45" i="1"/>
  <c r="EE45" i="1" s="1"/>
  <c r="AG63" i="1"/>
  <c r="BF63" i="1" s="1"/>
  <c r="ED70" i="1"/>
  <c r="I70" i="1"/>
  <c r="CE70" i="1"/>
  <c r="DD70" i="1" s="1"/>
  <c r="ED115" i="1"/>
  <c r="I115" i="1"/>
  <c r="DJ133" i="1"/>
  <c r="DJ140" i="1" s="1"/>
  <c r="DJ129" i="1"/>
  <c r="DJ131" i="1" s="1"/>
  <c r="DH140" i="1"/>
  <c r="BG107" i="1"/>
  <c r="EE107" i="1" s="1"/>
  <c r="I83" i="1"/>
  <c r="ED83" i="1"/>
  <c r="BY129" i="1"/>
  <c r="CF129" i="1"/>
  <c r="ED72" i="1"/>
  <c r="I72" i="1"/>
  <c r="AG47" i="1"/>
  <c r="BF47" i="1" s="1"/>
  <c r="EE47" i="1"/>
  <c r="BO137" i="1"/>
  <c r="BO50" i="1"/>
  <c r="BQ137" i="1"/>
  <c r="BQ140" i="1" s="1"/>
  <c r="BQ50" i="1"/>
  <c r="BQ131" i="1" s="1"/>
  <c r="CB131" i="1"/>
  <c r="AL131" i="1"/>
  <c r="I17" i="1"/>
  <c r="AG17" i="1"/>
  <c r="BF17" i="1" s="1"/>
  <c r="ED17" i="1"/>
  <c r="CE17" i="1"/>
  <c r="DD17" i="1" s="1"/>
  <c r="EB50" i="1"/>
  <c r="K131" i="1"/>
  <c r="K141" i="1" s="1"/>
  <c r="DE29" i="1"/>
  <c r="EF29" i="1" s="1"/>
  <c r="BW140" i="1"/>
  <c r="AG91" i="1"/>
  <c r="BF91" i="1" s="1"/>
  <c r="EE91" i="1"/>
  <c r="CF77" i="1"/>
  <c r="CE51" i="1"/>
  <c r="DD51" i="1" s="1"/>
  <c r="I90" i="1"/>
  <c r="ED90" i="1"/>
  <c r="ED58" i="1"/>
  <c r="I58" i="1"/>
  <c r="CE23" i="1"/>
  <c r="DD23" i="1" s="1"/>
  <c r="EF23" i="1"/>
  <c r="I47" i="1"/>
  <c r="ED47" i="1"/>
  <c r="ED59" i="1"/>
  <c r="I59" i="1"/>
  <c r="AG25" i="1"/>
  <c r="BF25" i="1" s="1"/>
  <c r="H136" i="1"/>
  <c r="G134" i="1"/>
  <c r="ED134" i="1" s="1"/>
  <c r="I6" i="1"/>
  <c r="G24" i="1"/>
  <c r="H137" i="1" s="1"/>
  <c r="ED6" i="1"/>
  <c r="CE6" i="1"/>
  <c r="DD6" i="1" s="1"/>
  <c r="BI134" i="1"/>
  <c r="EF126" i="1"/>
  <c r="CE126" i="1"/>
  <c r="DD126" i="1" s="1"/>
  <c r="DG134" i="1"/>
  <c r="DE103" i="1"/>
  <c r="BR140" i="1"/>
  <c r="BY133" i="1"/>
  <c r="BP140" i="1"/>
  <c r="DM129" i="1"/>
  <c r="DM131" i="1" s="1"/>
  <c r="DW134" i="1"/>
  <c r="Q140" i="1"/>
  <c r="Q141" i="1" s="1"/>
  <c r="ED126" i="1"/>
  <c r="I126" i="1"/>
  <c r="EF93" i="1"/>
  <c r="CE93" i="1"/>
  <c r="DD93" i="1" s="1"/>
  <c r="M140" i="1"/>
  <c r="BG119" i="1"/>
  <c r="EE119" i="1" s="1"/>
  <c r="BG101" i="1"/>
  <c r="EE101" i="1" s="1"/>
  <c r="AH134" i="1"/>
  <c r="AG87" i="1"/>
  <c r="BF87" i="1" s="1"/>
  <c r="EE87" i="1"/>
  <c r="AG49" i="1"/>
  <c r="BF49" i="1" s="1"/>
  <c r="AG72" i="1"/>
  <c r="BF72" i="1" s="1"/>
  <c r="AG60" i="1"/>
  <c r="BF60" i="1" s="1"/>
  <c r="CE103" i="1"/>
  <c r="DD103" i="1" s="1"/>
  <c r="CF89" i="1"/>
  <c r="CF97" i="1" s="1"/>
  <c r="DG50" i="1"/>
  <c r="EE31" i="1"/>
  <c r="AG31" i="1"/>
  <c r="BF31" i="1" s="1"/>
  <c r="EB97" i="1"/>
  <c r="AG71" i="1"/>
  <c r="BF71" i="1" s="1"/>
  <c r="EE71" i="1"/>
  <c r="AG27" i="1"/>
  <c r="BF27" i="1" s="1"/>
  <c r="AG125" i="1"/>
  <c r="BF125" i="1" s="1"/>
  <c r="ED75" i="1"/>
  <c r="I75" i="1"/>
  <c r="DE55" i="1"/>
  <c r="EF55" i="1" s="1"/>
  <c r="I39" i="1"/>
  <c r="ED39" i="1"/>
  <c r="DZ131" i="1"/>
  <c r="CE16" i="1"/>
  <c r="DD16" i="1" s="1"/>
  <c r="I16" i="1"/>
  <c r="ED16" i="1"/>
  <c r="I37" i="1"/>
  <c r="AG84" i="1"/>
  <c r="BF84" i="1" s="1"/>
  <c r="EE84" i="1"/>
  <c r="CE72" i="1"/>
  <c r="DD72" i="1" s="1"/>
  <c r="CE41" i="1"/>
  <c r="DD41" i="1" s="1"/>
  <c r="EF41" i="1"/>
  <c r="BX24" i="1"/>
  <c r="BZ138" i="1"/>
  <c r="CE43" i="1"/>
  <c r="DD43" i="1" s="1"/>
  <c r="DE12" i="1"/>
  <c r="EF12" i="1" s="1"/>
  <c r="DW97" i="1"/>
  <c r="CE18" i="1"/>
  <c r="DD18" i="1" s="1"/>
  <c r="BV131" i="1"/>
  <c r="BV141" i="1" s="1"/>
  <c r="BG25" i="1"/>
  <c r="CE91" i="1"/>
  <c r="DD91" i="1" s="1"/>
  <c r="BG43" i="1"/>
  <c r="EE43" i="1" s="1"/>
  <c r="BG8" i="1"/>
  <c r="EE8" i="1" s="1"/>
  <c r="BG18" i="1"/>
  <c r="EE18" i="1" s="1"/>
  <c r="CX140" i="1"/>
  <c r="ED113" i="1"/>
  <c r="I113" i="1"/>
  <c r="AG113" i="1"/>
  <c r="BF113" i="1" s="1"/>
  <c r="CE63" i="1"/>
  <c r="DD63" i="1" s="1"/>
  <c r="EF63" i="1"/>
  <c r="CE119" i="1"/>
  <c r="DD119" i="1" s="1"/>
  <c r="ED107" i="1"/>
  <c r="I107" i="1"/>
  <c r="AG89" i="1"/>
  <c r="BF89" i="1" s="1"/>
  <c r="CE84" i="1"/>
  <c r="DD84" i="1" s="1"/>
  <c r="ED56" i="1"/>
  <c r="I56" i="1"/>
  <c r="BK24" i="1"/>
  <c r="CE13" i="1"/>
  <c r="DD13" i="1" s="1"/>
  <c r="AT141" i="1"/>
  <c r="AH138" i="1"/>
  <c r="AX141" i="1"/>
  <c r="BI138" i="1"/>
  <c r="BI24" i="1"/>
  <c r="BG6" i="1"/>
  <c r="AG115" i="1"/>
  <c r="BF115" i="1" s="1"/>
  <c r="EE96" i="1"/>
  <c r="AG96" i="1"/>
  <c r="BF96" i="1" s="1"/>
  <c r="CI141" i="1"/>
  <c r="AG88" i="1"/>
  <c r="BF88" i="1" s="1"/>
  <c r="EE88" i="1"/>
  <c r="I40" i="1"/>
  <c r="ED40" i="1"/>
  <c r="DE6" i="1"/>
  <c r="BK134" i="1"/>
  <c r="EF102" i="1"/>
  <c r="CE102" i="1"/>
  <c r="DD102" i="1" s="1"/>
  <c r="DE66" i="1"/>
  <c r="EF66" i="1" s="1"/>
  <c r="DF134" i="1"/>
  <c r="BE140" i="1"/>
  <c r="AF140" i="1"/>
  <c r="CE95" i="1"/>
  <c r="DD95" i="1" s="1"/>
  <c r="EF125" i="1"/>
  <c r="CE125" i="1"/>
  <c r="DD125" i="1" s="1"/>
  <c r="ED112" i="1"/>
  <c r="I112" i="1"/>
  <c r="DC140" i="1"/>
  <c r="BL133" i="1"/>
  <c r="BL140" i="1" s="1"/>
  <c r="BL129" i="1"/>
  <c r="BL131" i="1" s="1"/>
  <c r="AG80" i="1"/>
  <c r="BF80" i="1" s="1"/>
  <c r="EE80" i="1"/>
  <c r="BS140" i="1"/>
  <c r="CE108" i="1"/>
  <c r="DD108" i="1" s="1"/>
  <c r="EF96" i="1"/>
  <c r="CE96" i="1"/>
  <c r="DD96" i="1" s="1"/>
  <c r="I116" i="1"/>
  <c r="ED116" i="1"/>
  <c r="I101" i="1"/>
  <c r="ED101" i="1"/>
  <c r="CE101" i="1"/>
  <c r="DD101" i="1" s="1"/>
  <c r="DS140" i="1"/>
  <c r="DS141" i="1" s="1"/>
  <c r="AG61" i="1"/>
  <c r="BF61" i="1" s="1"/>
  <c r="EF122" i="1"/>
  <c r="CE122" i="1"/>
  <c r="DD122" i="1" s="1"/>
  <c r="DO129" i="1"/>
  <c r="BO129" i="1"/>
  <c r="AG94" i="1"/>
  <c r="BF94" i="1" s="1"/>
  <c r="CE123" i="1"/>
  <c r="DD123" i="1" s="1"/>
  <c r="EF123" i="1"/>
  <c r="BY77" i="1"/>
  <c r="AG48" i="1"/>
  <c r="BF48" i="1" s="1"/>
  <c r="EE48" i="1"/>
  <c r="ED27" i="1"/>
  <c r="I27" i="1"/>
  <c r="AH97" i="1"/>
  <c r="CE58" i="1"/>
  <c r="DD58" i="1" s="1"/>
  <c r="CE47" i="1"/>
  <c r="DD47" i="1" s="1"/>
  <c r="AG70" i="1"/>
  <c r="BF70" i="1" s="1"/>
  <c r="CE49" i="1"/>
  <c r="DD49" i="1" s="1"/>
  <c r="CE90" i="1"/>
  <c r="DD90" i="1" s="1"/>
  <c r="CE116" i="1"/>
  <c r="DD116" i="1" s="1"/>
  <c r="CE80" i="1"/>
  <c r="DD80" i="1" s="1"/>
  <c r="EF80" i="1"/>
  <c r="I55" i="1"/>
  <c r="ED55" i="1"/>
  <c r="I14" i="1"/>
  <c r="ED14" i="1"/>
  <c r="AG14" i="1"/>
  <c r="BF14" i="1" s="1"/>
  <c r="CE55" i="1"/>
  <c r="DD55" i="1" s="1"/>
  <c r="CE68" i="1"/>
  <c r="DD68" i="1" s="1"/>
  <c r="DE43" i="1"/>
  <c r="EF43" i="1" s="1"/>
  <c r="AG9" i="1"/>
  <c r="BF9" i="1" s="1"/>
  <c r="CE14" i="1"/>
  <c r="DD14" i="1" s="1"/>
  <c r="BG12" i="1"/>
  <c r="EE12" i="1" s="1"/>
  <c r="AG6" i="1"/>
  <c r="BF6" i="1" s="1"/>
  <c r="BZ24" i="1"/>
  <c r="BZ131" i="1" s="1"/>
  <c r="AG43" i="1"/>
  <c r="BF43" i="1" s="1"/>
  <c r="AG8" i="1"/>
  <c r="BF8" i="1" s="1"/>
  <c r="AG13" i="1"/>
  <c r="BF13" i="1" s="1"/>
  <c r="BH141" i="2" l="1"/>
  <c r="DI132" i="2"/>
  <c r="BG136" i="1"/>
  <c r="BK140" i="1"/>
  <c r="AP141" i="1"/>
  <c r="DQ131" i="1"/>
  <c r="BM141" i="1"/>
  <c r="CB141" i="1"/>
  <c r="BX140" i="1"/>
  <c r="BN141" i="1"/>
  <c r="BZ140" i="1"/>
  <c r="BA141" i="1"/>
  <c r="BL141" i="1"/>
  <c r="G135" i="1"/>
  <c r="ED135" i="1" s="1"/>
  <c r="G138" i="1"/>
  <c r="ED138" i="1" s="1"/>
  <c r="BQ141" i="1"/>
  <c r="CE24" i="1"/>
  <c r="DD24" i="1" s="1"/>
  <c r="H134" i="1"/>
  <c r="G139" i="1"/>
  <c r="ED139" i="1" s="1"/>
  <c r="EF51" i="2"/>
  <c r="H138" i="1"/>
  <c r="DJ141" i="1"/>
  <c r="BU141" i="1"/>
  <c r="EF25" i="2"/>
  <c r="EF78" i="2"/>
  <c r="DU140" i="1"/>
  <c r="DU141" i="1" s="1"/>
  <c r="BW132" i="2"/>
  <c r="BW142" i="2" s="1"/>
  <c r="I77" i="1"/>
  <c r="EF130" i="2"/>
  <c r="DO132" i="2"/>
  <c r="DX141" i="2"/>
  <c r="DQ141" i="2"/>
  <c r="EE132" i="2"/>
  <c r="DD97" i="2"/>
  <c r="DV141" i="2"/>
  <c r="EF143" i="2"/>
  <c r="DD24" i="2"/>
  <c r="EG24" i="2"/>
  <c r="DD129" i="2"/>
  <c r="EG129" i="2"/>
  <c r="CF98" i="2"/>
  <c r="EF88" i="2"/>
  <c r="DD50" i="2"/>
  <c r="EG50" i="2"/>
  <c r="BO132" i="2"/>
  <c r="BO142" i="2" s="1"/>
  <c r="BK132" i="2"/>
  <c r="BH132" i="2"/>
  <c r="BH142" i="2" s="1"/>
  <c r="BZ132" i="2"/>
  <c r="DI141" i="2"/>
  <c r="DE137" i="2"/>
  <c r="DU141" i="2"/>
  <c r="Q142" i="2"/>
  <c r="S142" i="2"/>
  <c r="U142" i="2"/>
  <c r="AY142" i="2"/>
  <c r="BP141" i="2"/>
  <c r="BP142" i="2" s="1"/>
  <c r="I130" i="2"/>
  <c r="AI142" i="2"/>
  <c r="I98" i="2"/>
  <c r="AZ142" i="2"/>
  <c r="AP142" i="2"/>
  <c r="BZ141" i="2"/>
  <c r="BJ142" i="2"/>
  <c r="AL142" i="2"/>
  <c r="BR142" i="2"/>
  <c r="BT142" i="2"/>
  <c r="AA142" i="2"/>
  <c r="G138" i="2"/>
  <c r="EE139" i="2" s="1"/>
  <c r="BB142" i="2"/>
  <c r="BS141" i="2"/>
  <c r="BX141" i="2"/>
  <c r="BX142" i="2" s="1"/>
  <c r="BV142" i="2"/>
  <c r="BE142" i="2"/>
  <c r="CN141" i="1"/>
  <c r="DQ140" i="1"/>
  <c r="CR141" i="1"/>
  <c r="DX140" i="1"/>
  <c r="DX141" i="1" s="1"/>
  <c r="BK131" i="1"/>
  <c r="BK141" i="1" s="1"/>
  <c r="BI141" i="2"/>
  <c r="BG51" i="2"/>
  <c r="AJ142" i="2"/>
  <c r="AI141" i="1"/>
  <c r="BM142" i="2"/>
  <c r="DG140" i="1"/>
  <c r="BO140" i="1"/>
  <c r="BG137" i="2"/>
  <c r="DM140" i="1"/>
  <c r="DM141" i="1" s="1"/>
  <c r="BG139" i="1"/>
  <c r="EE139" i="1" s="1"/>
  <c r="BE141" i="1"/>
  <c r="BA142" i="2"/>
  <c r="G136" i="2"/>
  <c r="EE137" i="2" s="1"/>
  <c r="H139" i="2"/>
  <c r="BY132" i="2"/>
  <c r="CG141" i="1"/>
  <c r="DF131" i="1"/>
  <c r="BG135" i="2"/>
  <c r="BY141" i="2"/>
  <c r="DE138" i="1"/>
  <c r="EF138" i="1" s="1"/>
  <c r="DE78" i="2"/>
  <c r="DE139" i="2"/>
  <c r="CJ141" i="1"/>
  <c r="BJ141" i="1"/>
  <c r="DE134" i="1"/>
  <c r="EF134" i="1" s="1"/>
  <c r="BG138" i="1"/>
  <c r="EE138" i="1" s="1"/>
  <c r="BN142" i="2"/>
  <c r="BZ141" i="1"/>
  <c r="DF132" i="2"/>
  <c r="BI131" i="1"/>
  <c r="DE129" i="1"/>
  <c r="EF129" i="1" s="1"/>
  <c r="DY141" i="1"/>
  <c r="CA141" i="1"/>
  <c r="DE77" i="1"/>
  <c r="EF77" i="1" s="1"/>
  <c r="CH141" i="1"/>
  <c r="DI140" i="1"/>
  <c r="DI141" i="1" s="1"/>
  <c r="EB140" i="1"/>
  <c r="BG98" i="2"/>
  <c r="BI132" i="2"/>
  <c r="CX141" i="1"/>
  <c r="DZ141" i="1"/>
  <c r="BG134" i="1"/>
  <c r="EE134" i="1" s="1"/>
  <c r="DE97" i="1"/>
  <c r="EF97" i="1" s="1"/>
  <c r="DW140" i="1"/>
  <c r="CD131" i="1"/>
  <c r="BG139" i="2"/>
  <c r="CB142" i="2"/>
  <c r="BG77" i="1"/>
  <c r="EE77" i="1" s="1"/>
  <c r="EB131" i="1"/>
  <c r="BR141" i="1"/>
  <c r="CD140" i="1"/>
  <c r="DG141" i="2"/>
  <c r="BG140" i="2"/>
  <c r="BK141" i="2"/>
  <c r="BG138" i="2"/>
  <c r="DE135" i="1"/>
  <c r="DX132" i="2"/>
  <c r="DC141" i="1"/>
  <c r="BG137" i="1"/>
  <c r="EE137" i="1" s="1"/>
  <c r="EB132" i="2"/>
  <c r="BQ142" i="2"/>
  <c r="DE140" i="2"/>
  <c r="G135" i="2"/>
  <c r="EE136" i="2" s="1"/>
  <c r="H140" i="2"/>
  <c r="CE51" i="2"/>
  <c r="DD200" i="2" s="1"/>
  <c r="DW98" i="2"/>
  <c r="DW132" i="2" s="1"/>
  <c r="BU142" i="2"/>
  <c r="AG130" i="2"/>
  <c r="BF130" i="2" s="1"/>
  <c r="DE130" i="2"/>
  <c r="CC142" i="2"/>
  <c r="AH141" i="2"/>
  <c r="I51" i="2"/>
  <c r="DE25" i="2"/>
  <c r="DV132" i="2"/>
  <c r="DW136" i="2"/>
  <c r="DW141" i="2" s="1"/>
  <c r="G132" i="2"/>
  <c r="CE78" i="2"/>
  <c r="DD201" i="2" s="1"/>
  <c r="CE25" i="2"/>
  <c r="DD199" i="2" s="1"/>
  <c r="DE138" i="2"/>
  <c r="DG132" i="2"/>
  <c r="H135" i="2"/>
  <c r="BG25" i="2"/>
  <c r="BG134" i="2"/>
  <c r="G137" i="2"/>
  <c r="EE138" i="2" s="1"/>
  <c r="AG51" i="2"/>
  <c r="BF51" i="2" s="1"/>
  <c r="CE130" i="2"/>
  <c r="DD203" i="2" s="1"/>
  <c r="H136" i="2"/>
  <c r="G139" i="2"/>
  <c r="EE140" i="2" s="1"/>
  <c r="AH132" i="2"/>
  <c r="AG25" i="2"/>
  <c r="BF25" i="2" s="1"/>
  <c r="BS132" i="2"/>
  <c r="DE134" i="2"/>
  <c r="DF141" i="2"/>
  <c r="EB141" i="2"/>
  <c r="AG98" i="2"/>
  <c r="BF98" i="2" s="1"/>
  <c r="H134" i="2"/>
  <c r="H138" i="2"/>
  <c r="I78" i="2"/>
  <c r="AG78" i="2"/>
  <c r="BF78" i="2" s="1"/>
  <c r="CF141" i="2"/>
  <c r="CD132" i="2"/>
  <c r="G140" i="2"/>
  <c r="EE141" i="2" s="1"/>
  <c r="AF142" i="2"/>
  <c r="CD141" i="2"/>
  <c r="DE135" i="2"/>
  <c r="BG130" i="2"/>
  <c r="BG78" i="2"/>
  <c r="DE98" i="2"/>
  <c r="I25" i="2"/>
  <c r="H137" i="2"/>
  <c r="M142" i="2"/>
  <c r="CE88" i="2"/>
  <c r="DD88" i="2" s="1"/>
  <c r="CA142" i="2"/>
  <c r="BG136" i="2"/>
  <c r="G134" i="2"/>
  <c r="EE135" i="2" s="1"/>
  <c r="BL142" i="2"/>
  <c r="DE51" i="2"/>
  <c r="DV141" i="1"/>
  <c r="AL141" i="1"/>
  <c r="AJ141" i="1"/>
  <c r="CE97" i="1"/>
  <c r="DD97" i="1" s="1"/>
  <c r="CE50" i="1"/>
  <c r="DD50" i="1" s="1"/>
  <c r="DW131" i="1"/>
  <c r="DE136" i="1"/>
  <c r="EF136" i="1" s="1"/>
  <c r="EF103" i="1"/>
  <c r="G133" i="1"/>
  <c r="AG133" i="1" s="1"/>
  <c r="BF133" i="1" s="1"/>
  <c r="H135" i="1"/>
  <c r="I50" i="1"/>
  <c r="BY131" i="1"/>
  <c r="CF131" i="1"/>
  <c r="AH140" i="1"/>
  <c r="AG50" i="1"/>
  <c r="BF50" i="1" s="1"/>
  <c r="BG97" i="1"/>
  <c r="EE97" i="1" s="1"/>
  <c r="EE78" i="1"/>
  <c r="BS141" i="1"/>
  <c r="BY140" i="1"/>
  <c r="EE136" i="1"/>
  <c r="DF140" i="1"/>
  <c r="I129" i="1"/>
  <c r="CZ141" i="1"/>
  <c r="BP141" i="1"/>
  <c r="DH141" i="1"/>
  <c r="BI140" i="1"/>
  <c r="EE51" i="1"/>
  <c r="DL141" i="1"/>
  <c r="AG97" i="1"/>
  <c r="BF97" i="1" s="1"/>
  <c r="BX131" i="1"/>
  <c r="BX141" i="1" s="1"/>
  <c r="CE77" i="1"/>
  <c r="DD77" i="1" s="1"/>
  <c r="BO131" i="1"/>
  <c r="BO141" i="1" s="1"/>
  <c r="BG129" i="1"/>
  <c r="EE129" i="1" s="1"/>
  <c r="M141" i="1"/>
  <c r="BT141" i="1"/>
  <c r="BG135" i="1"/>
  <c r="EE135" i="1" s="1"/>
  <c r="DO131" i="1"/>
  <c r="DO141" i="1" s="1"/>
  <c r="CE129" i="1"/>
  <c r="DD129" i="1" s="1"/>
  <c r="AG129" i="1"/>
  <c r="BF129" i="1" s="1"/>
  <c r="DE133" i="1"/>
  <c r="CF135" i="1"/>
  <c r="CF140" i="1" s="1"/>
  <c r="H139" i="1"/>
  <c r="DE137" i="1"/>
  <c r="EF137" i="1" s="1"/>
  <c r="DE24" i="1"/>
  <c r="EF6" i="1"/>
  <c r="G131" i="1"/>
  <c r="ED24" i="1"/>
  <c r="G136" i="1"/>
  <c r="EA141" i="1"/>
  <c r="DG131" i="1"/>
  <c r="DG141" i="1" s="1"/>
  <c r="AF141" i="1"/>
  <c r="AG134" i="1"/>
  <c r="BF134" i="1" s="1"/>
  <c r="BG50" i="1"/>
  <c r="EE50" i="1" s="1"/>
  <c r="EE25" i="1"/>
  <c r="H133" i="1"/>
  <c r="DE50" i="1"/>
  <c r="EF50" i="1" s="1"/>
  <c r="BG24" i="1"/>
  <c r="EE6" i="1"/>
  <c r="AH131" i="1"/>
  <c r="EF89" i="1"/>
  <c r="CE89" i="1"/>
  <c r="DD89" i="1" s="1"/>
  <c r="I24" i="1"/>
  <c r="I133" i="1" s="1"/>
  <c r="G137" i="1"/>
  <c r="I97" i="1"/>
  <c r="BH140" i="1"/>
  <c r="BH141" i="1" s="1"/>
  <c r="BG133" i="1"/>
  <c r="BW141" i="1"/>
  <c r="DT141" i="1"/>
  <c r="DE139" i="1"/>
  <c r="EF139" i="1" s="1"/>
  <c r="CE134" i="1"/>
  <c r="DD134" i="1" s="1"/>
  <c r="AG77" i="1"/>
  <c r="BF77" i="1" s="1"/>
  <c r="DQ141" i="1" l="1"/>
  <c r="DF141" i="1"/>
  <c r="AG139" i="1"/>
  <c r="BF139" i="1" s="1"/>
  <c r="CE138" i="1"/>
  <c r="DD138" i="1" s="1"/>
  <c r="CE139" i="1"/>
  <c r="DD139" i="1" s="1"/>
  <c r="AG138" i="1"/>
  <c r="BF138" i="1" s="1"/>
  <c r="AG135" i="1"/>
  <c r="BF135" i="1" s="1"/>
  <c r="BK142" i="2"/>
  <c r="I138" i="1"/>
  <c r="EF98" i="2"/>
  <c r="EF132" i="2" s="1"/>
  <c r="CE204" i="2"/>
  <c r="CF132" i="2"/>
  <c r="CE98" i="2"/>
  <c r="BZ142" i="2"/>
  <c r="DD51" i="2"/>
  <c r="EG51" i="2"/>
  <c r="DD78" i="2"/>
  <c r="EG78" i="2"/>
  <c r="DD130" i="2"/>
  <c r="EG130" i="2"/>
  <c r="DD25" i="2"/>
  <c r="EG25" i="2"/>
  <c r="EE143" i="2"/>
  <c r="CE135" i="2"/>
  <c r="EG136" i="2" s="1"/>
  <c r="I135" i="2"/>
  <c r="AG138" i="2"/>
  <c r="BF138" i="2" s="1"/>
  <c r="CE138" i="2"/>
  <c r="EG139" i="2" s="1"/>
  <c r="AG136" i="2"/>
  <c r="BF136" i="2" s="1"/>
  <c r="BS142" i="2"/>
  <c r="BI142" i="2"/>
  <c r="BY142" i="2"/>
  <c r="DW141" i="1"/>
  <c r="EB141" i="1"/>
  <c r="CE136" i="2"/>
  <c r="EG137" i="2" s="1"/>
  <c r="BG140" i="1"/>
  <c r="EE140" i="1" s="1"/>
  <c r="CD141" i="1"/>
  <c r="I132" i="2"/>
  <c r="DE132" i="2"/>
  <c r="BI141" i="1"/>
  <c r="DE140" i="1"/>
  <c r="EF140" i="1" s="1"/>
  <c r="CE140" i="2"/>
  <c r="EG141" i="2" s="1"/>
  <c r="AG140" i="2"/>
  <c r="BF140" i="2" s="1"/>
  <c r="G141" i="2"/>
  <c r="I139" i="2"/>
  <c r="CD142" i="2"/>
  <c r="CE139" i="2"/>
  <c r="EG140" i="2" s="1"/>
  <c r="CE134" i="2"/>
  <c r="EG135" i="2" s="1"/>
  <c r="I136" i="2"/>
  <c r="AG134" i="2"/>
  <c r="BF134" i="2" s="1"/>
  <c r="AG135" i="2"/>
  <c r="BF135" i="2" s="1"/>
  <c r="BG141" i="2"/>
  <c r="CE132" i="2"/>
  <c r="AG139" i="2"/>
  <c r="BF139" i="2" s="1"/>
  <c r="H141" i="2"/>
  <c r="H142" i="2" s="1"/>
  <c r="DE136" i="2"/>
  <c r="I140" i="2"/>
  <c r="AH142" i="2"/>
  <c r="AG132" i="2"/>
  <c r="BF132" i="2" s="1"/>
  <c r="CE137" i="2"/>
  <c r="EG138" i="2" s="1"/>
  <c r="AG137" i="2"/>
  <c r="BF137" i="2" s="1"/>
  <c r="H140" i="1"/>
  <c r="H141" i="1" s="1"/>
  <c r="BG132" i="2"/>
  <c r="I134" i="2"/>
  <c r="I137" i="2"/>
  <c r="I138" i="2"/>
  <c r="ED136" i="1"/>
  <c r="CE136" i="1"/>
  <c r="DD136" i="1" s="1"/>
  <c r="EF133" i="1"/>
  <c r="AG136" i="1"/>
  <c r="BF136" i="1" s="1"/>
  <c r="AH141" i="1"/>
  <c r="AG131" i="1"/>
  <c r="BF131" i="1" s="1"/>
  <c r="ED131" i="1"/>
  <c r="EF135" i="1"/>
  <c r="CE135" i="1"/>
  <c r="DD135" i="1" s="1"/>
  <c r="G140" i="1"/>
  <c r="ED140" i="1" s="1"/>
  <c r="ED133" i="1"/>
  <c r="ED137" i="1"/>
  <c r="CE137" i="1"/>
  <c r="DD137" i="1" s="1"/>
  <c r="AG137" i="1"/>
  <c r="BF137" i="1" s="1"/>
  <c r="BG131" i="1"/>
  <c r="BG141" i="1" s="1"/>
  <c r="EE24" i="1"/>
  <c r="DE131" i="1"/>
  <c r="EF24" i="1"/>
  <c r="I134" i="1"/>
  <c r="CF141" i="1"/>
  <c r="CE131" i="1"/>
  <c r="BY141" i="1"/>
  <c r="EE133" i="1"/>
  <c r="I131" i="1"/>
  <c r="I136" i="1"/>
  <c r="I137" i="1"/>
  <c r="I135" i="1"/>
  <c r="CE133" i="1"/>
  <c r="DD133" i="1" s="1"/>
  <c r="I139" i="1"/>
  <c r="DD98" i="2" l="1"/>
  <c r="DD202" i="2"/>
  <c r="EG132" i="2"/>
  <c r="DD204" i="2"/>
  <c r="EG98" i="2"/>
  <c r="DD139" i="2"/>
  <c r="DD136" i="2"/>
  <c r="DD138" i="2"/>
  <c r="DD134" i="2"/>
  <c r="DD137" i="2"/>
  <c r="DD140" i="2"/>
  <c r="DD135" i="2"/>
  <c r="BG142" i="2"/>
  <c r="CE141" i="2"/>
  <c r="AG141" i="2"/>
  <c r="BF141" i="2" s="1"/>
  <c r="DE141" i="1"/>
  <c r="DE141" i="2"/>
  <c r="I141" i="2"/>
  <c r="I142" i="2" s="1"/>
  <c r="DD132" i="2"/>
  <c r="I140" i="1"/>
  <c r="I141" i="1" s="1"/>
  <c r="CE140" i="1"/>
  <c r="DD140" i="1" s="1"/>
  <c r="AG140" i="1"/>
  <c r="BF140" i="1" s="1"/>
  <c r="DD131" i="1"/>
  <c r="EF131" i="1"/>
  <c r="EF141" i="1" s="1"/>
  <c r="ED141" i="1"/>
  <c r="G141" i="1"/>
  <c r="EE131" i="1"/>
  <c r="EE141" i="1" s="1"/>
  <c r="DD141" i="2" l="1"/>
  <c r="EG143" i="2"/>
  <c r="CE141" i="1"/>
  <c r="DD141" i="1"/>
</calcChain>
</file>

<file path=xl/comments1.xml><?xml version="1.0" encoding="utf-8"?>
<comments xmlns="http://schemas.openxmlformats.org/spreadsheetml/2006/main">
  <authors>
    <author>Usuario de Windows</author>
    <author>Oficina Planeacion</author>
  </authors>
  <commentList>
    <comment ref="Q37" author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170.000.000 centros y $90.000.000 Institutos</t>
        </r>
      </text>
    </comment>
    <comment ref="Q38" author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$200.000.000 grupos y $100.000.000 docentes categorizados
</t>
        </r>
      </text>
    </comment>
    <comment ref="AD43" authorId="1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D.Salud $31.647.001. </t>
        </r>
      </text>
    </comment>
    <comment ref="K63" author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$45.000.000 macroproyectos y $50.000.000 proyectos de responsabilidad social
</t>
        </r>
      </text>
    </comment>
    <comment ref="O63" author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$80.000.000 macroproyectos y $67.645.552 proyectos de responsabilidad social
</t>
        </r>
      </text>
    </comment>
    <comment ref="AA63" authorId="1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$27.766.866 CONV.ALCALDIA</t>
        </r>
      </text>
    </comment>
    <comment ref="M95" authorId="1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$225.000.000 P. Fomento 2021 $144.137.560 P.F.2019R</t>
        </r>
      </text>
    </comment>
    <comment ref="M98" authorId="1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$565.035.267 P.F.2021
</t>
        </r>
      </text>
    </comment>
    <comment ref="M101" authorId="1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$125.185.079
</t>
        </r>
      </text>
    </comment>
    <comment ref="M102" authorId="1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$346.362.801 P.F.2021</t>
        </r>
      </text>
    </comment>
    <comment ref="M103" authorId="1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$721.081.879 P.F.2021</t>
        </r>
      </text>
    </comment>
    <comment ref="M104" authorId="1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$35.810.000 P.F.2021</t>
        </r>
      </text>
    </comment>
    <comment ref="M105" authorId="1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$137.412.037</t>
        </r>
      </text>
    </comment>
    <comment ref="M106" authorId="1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$2676.241.230 P. F. 2021
</t>
        </r>
      </text>
    </comment>
    <comment ref="M107" authorId="1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$178.323.201
</t>
        </r>
      </text>
    </comment>
    <comment ref="M108" authorId="1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$498.128.051 P.F.2021</t>
        </r>
      </text>
    </comment>
    <comment ref="AA116" authorId="1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30.000.000. CONV. ALCALDIA SEMESTRE CERO.</t>
        </r>
      </text>
    </comment>
    <comment ref="AA117" authorId="1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$40.000.000 CONV. ALCALDIA S. CERO.</t>
        </r>
      </text>
    </comment>
    <comment ref="AA118" authorId="1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$90.000.000 CONV. ALCALDIA S. CERO</t>
        </r>
      </text>
    </comment>
    <comment ref="M119" authorId="1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$362.500.200 P.F.2021
</t>
        </r>
      </text>
    </comment>
  </commentList>
</comments>
</file>

<file path=xl/comments2.xml><?xml version="1.0" encoding="utf-8"?>
<comments xmlns="http://schemas.openxmlformats.org/spreadsheetml/2006/main">
  <authors>
    <author>Usuario de Windows</author>
    <author>Oficina Planeacion</author>
  </authors>
  <commentList>
    <comment ref="Q38" author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170.000.000 centros y $90.000.000 Institutos</t>
        </r>
      </text>
    </comment>
    <comment ref="Q39" author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$200.000.000 grupos y $100.000.000 docentes categorizados
</t>
        </r>
      </text>
    </comment>
    <comment ref="AD44" authorId="1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D.Salud $31.647.001. </t>
        </r>
      </text>
    </comment>
    <comment ref="K64" author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$45.000.000 macroproyectos y $50.000.000 proyectos de responsabilidad social
</t>
        </r>
      </text>
    </comment>
    <comment ref="O64" author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$80.000.000 macroproyectos y $67.645.552 proyectos de responsabilidad social
</t>
        </r>
      </text>
    </comment>
    <comment ref="AA64" authorId="1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$27.766.866 CONV.ALCALDIA</t>
        </r>
      </text>
    </comment>
    <comment ref="M96" authorId="1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$225.000.000 P. Fomento 2021 $144.137.560 P.F.2019R</t>
        </r>
      </text>
    </comment>
    <comment ref="M99" authorId="1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$565.035.267 P.F.2021
</t>
        </r>
      </text>
    </comment>
    <comment ref="M102" authorId="1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$125.185.079
</t>
        </r>
      </text>
    </comment>
    <comment ref="M103" authorId="1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$346.362.801 P.F.2021</t>
        </r>
      </text>
    </comment>
    <comment ref="M104" authorId="1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$721.081.879 P.F.2021</t>
        </r>
      </text>
    </comment>
    <comment ref="M105" authorId="1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$35.810.000 P.F.2021</t>
        </r>
      </text>
    </comment>
    <comment ref="M106" authorId="1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$137.412.037</t>
        </r>
      </text>
    </comment>
    <comment ref="M107" authorId="1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$2676.241.230 P. F. 2021
</t>
        </r>
      </text>
    </comment>
    <comment ref="M108" authorId="1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$178.323.201
</t>
        </r>
      </text>
    </comment>
    <comment ref="M109" authorId="1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$498.128.051 P.F.2021</t>
        </r>
      </text>
    </comment>
    <comment ref="AA117" authorId="1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30.000.000. CONV. ALCALDIA SEMESTRE CERO.</t>
        </r>
      </text>
    </comment>
    <comment ref="AA118" authorId="1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$40.000.000 CONV. ALCALDIA S. CERO.</t>
        </r>
      </text>
    </comment>
    <comment ref="AA119" authorId="1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$90.000.000 CONV. ALCALDIA S. CERO</t>
        </r>
      </text>
    </comment>
    <comment ref="M120" authorId="1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$362.500.200 P.F.2021
</t>
        </r>
      </text>
    </comment>
  </commentList>
</comments>
</file>

<file path=xl/sharedStrings.xml><?xml version="1.0" encoding="utf-8"?>
<sst xmlns="http://schemas.openxmlformats.org/spreadsheetml/2006/main" count="1135" uniqueCount="420">
  <si>
    <t>UNIVERSIDAD SURCOLOMBIANA</t>
  </si>
  <si>
    <t>OFICINA ASESORA DE PLANECIÓN</t>
  </si>
  <si>
    <t>PLAN DE ACCIÓN VIGENCIA 2020</t>
  </si>
  <si>
    <t>CDP</t>
  </si>
  <si>
    <t>SALDOS POR FUENTES DE FINANCIACIÓN</t>
  </si>
  <si>
    <t>SUBSISTEMA</t>
  </si>
  <si>
    <t>PROYECTO</t>
  </si>
  <si>
    <t>SIGLA</t>
  </si>
  <si>
    <t>ACTIVIDADES</t>
  </si>
  <si>
    <t>RUBRO</t>
  </si>
  <si>
    <t>RESPONSABLE</t>
  </si>
  <si>
    <t xml:space="preserve">RECURSOS EJECUTADOS </t>
  </si>
  <si>
    <t>RECURSOS POR EJECUTAR</t>
  </si>
  <si>
    <t>RECURSOS EJECUTADOS</t>
  </si>
  <si>
    <t>TOTAL ASIGNADO</t>
  </si>
  <si>
    <t>PDI</t>
  </si>
  <si>
    <t>POR ASIGNAR</t>
  </si>
  <si>
    <t>ESTAMPILLA UNIVERSIDAD LEY 1697/13</t>
  </si>
  <si>
    <t>R. NACIÓN</t>
  </si>
  <si>
    <t>RECURSOS CREE 2017</t>
  </si>
  <si>
    <t>R. NACIÓN PLAN DE FOMENTO</t>
  </si>
  <si>
    <t>RECURSOS CRÉDITO</t>
  </si>
  <si>
    <t>RENDIMIENTOS FINANCIEROS</t>
  </si>
  <si>
    <t>D. COMPLEMENTARIOS</t>
  </si>
  <si>
    <t>EST.DPTO. NEIVA</t>
  </si>
  <si>
    <t>EST.DPTO. GARZÓN</t>
  </si>
  <si>
    <t>EST.DPTO. PITALITO</t>
  </si>
  <si>
    <t>EST.DPTO. LA PLATA</t>
  </si>
  <si>
    <t>EST. NEIVA</t>
  </si>
  <si>
    <t>EST. GARZÓN</t>
  </si>
  <si>
    <t>EST. PITALITO</t>
  </si>
  <si>
    <t>EST. LA PLATA</t>
  </si>
  <si>
    <t>CONVENIOS</t>
  </si>
  <si>
    <t>IVA</t>
  </si>
  <si>
    <t>RECURSOS PROPIOS</t>
  </si>
  <si>
    <t xml:space="preserve">EXCEDENTES  USCO </t>
  </si>
  <si>
    <t>FTO. BTAR.</t>
  </si>
  <si>
    <t>RECURSOS DOCTORADOS</t>
  </si>
  <si>
    <t>CONV. ASOCOOPH</t>
  </si>
  <si>
    <t>EXCED. FAC.</t>
  </si>
  <si>
    <t>%</t>
  </si>
  <si>
    <t>TOTAL</t>
  </si>
  <si>
    <t>R. CREE 2017</t>
  </si>
  <si>
    <t>ASIGNADO</t>
  </si>
  <si>
    <t>CD´P+SALDO</t>
  </si>
  <si>
    <t>RP+SALDO</t>
  </si>
  <si>
    <t>FORMACION</t>
  </si>
  <si>
    <t>SF-PY1. Identidad con la Teolología y gobierno Institucional</t>
  </si>
  <si>
    <t>SF-PY1.1</t>
  </si>
  <si>
    <t>Inducción y Reinducción con docentes, estudiantes, Administrativos y Directivos de la Universidad, dobre misión, visión, principios y valores.</t>
  </si>
  <si>
    <t>V. ACADÉMICA
FACECO
EDUCACIÓN</t>
  </si>
  <si>
    <t>SF-PY1.2</t>
  </si>
  <si>
    <t>Promocion de la cultura  participativa y la democracia deliberativa en la comunidad  universitaria</t>
  </si>
  <si>
    <t>V. ACADÉMICA FACECO
EDUCACIÓN
FACIEN</t>
  </si>
  <si>
    <t xml:space="preserve">SF-PY2. Oferta Académica </t>
  </si>
  <si>
    <t>SF-PY2.1</t>
  </si>
  <si>
    <t>Nuevos programas académicos de pregrado presenciales y virtuales.</t>
  </si>
  <si>
    <t>V. ACADÉMICA
SALUD
FACECO
EDUCACIÓN
FACIEN</t>
  </si>
  <si>
    <t>SF-PY2.2</t>
  </si>
  <si>
    <t>Nuevos programas académicos de postgrado presenciales y virtuales.</t>
  </si>
  <si>
    <t>V. ACADÉMICA
INGENIERÍA, SALUD
FACIEN</t>
  </si>
  <si>
    <t>SF-PY2.3</t>
  </si>
  <si>
    <t>Nuevos programas académicos articulados en distintos niveles , ciclos propedéuticos, metodologias y modalidades. PAEME.</t>
  </si>
  <si>
    <t>V. ACADÉMICA</t>
  </si>
  <si>
    <t>SF-PY2.4</t>
  </si>
  <si>
    <t>Programas académicos articulados en distintos niveles con la educación media.</t>
  </si>
  <si>
    <t>SF-PY3. Desarrollo Profesoral.</t>
  </si>
  <si>
    <t>SF-PY3.1</t>
  </si>
  <si>
    <t xml:space="preserve"> Formación de alto nivel en Maestrías</t>
  </si>
  <si>
    <t>SF-PY3.2</t>
  </si>
  <si>
    <t>Formación de alto nivel Doctorados</t>
  </si>
  <si>
    <t>SF-PY3.3</t>
  </si>
  <si>
    <t xml:space="preserve">Estudios de Nivel Pos doctoral </t>
  </si>
  <si>
    <t>V. ACADÉMICA
FACECO</t>
  </si>
  <si>
    <t>SF-PY3.4</t>
  </si>
  <si>
    <t>Capacitación y actualización individual y colectiva en pedagogías, didácticas, estudios sociales, culturales y estéticos</t>
  </si>
  <si>
    <t>V. ACADÉMICA
INGENIERÍA, FACECO
EDUCACIÓN
FACIEN</t>
  </si>
  <si>
    <t>SF-PY3.5</t>
  </si>
  <si>
    <t>Capacitación en lenguas extranjeras</t>
  </si>
  <si>
    <t>SF-PY4.   Autoevaluación y Acreditación Académico e Institucional.</t>
  </si>
  <si>
    <t>SF-PY4.1</t>
  </si>
  <si>
    <t>Procesos de autoevaluación de programas de pregrado y postgrado.</t>
  </si>
  <si>
    <t xml:space="preserve">
V. ACADÉMICA
INGENIERÍA FACECO
EDUCACIÓN  
FACIEN
</t>
  </si>
  <si>
    <t>SF-PY4.2</t>
  </si>
  <si>
    <t>Actualización curricular pertinente y coherente con el PEU, PEF, PEP.</t>
  </si>
  <si>
    <t>SF-PY4.3</t>
  </si>
  <si>
    <t>Procesos de autoevaluación y mejoramiento de la calidad para la renovación de  acreditación de alta calidad institucional.</t>
  </si>
  <si>
    <t>SF-PY5.  Relevo Generacional con Excelencia Académica.</t>
  </si>
  <si>
    <t>SF-PY5.1</t>
  </si>
  <si>
    <t>Diseño y puesta en marcha politica de relevo generacional.</t>
  </si>
  <si>
    <t xml:space="preserve">V. ACADÉMICA
</t>
  </si>
  <si>
    <t>SF-PY6.Fortalecimiento de los Vínculos Universidad - Graduados.</t>
  </si>
  <si>
    <t>SF-PY6.1</t>
  </si>
  <si>
    <t xml:space="preserve">Portal y Observatorio Laboral, para enlace laboral y orientar proyectos de emprendimiento. </t>
  </si>
  <si>
    <t>V.ACADEMICA</t>
  </si>
  <si>
    <t>SF-PY6.2</t>
  </si>
  <si>
    <t>Programa de Seguimiento, evaluación y encuentros de graduados</t>
  </si>
  <si>
    <t>VIC. ACADÉMICA
FACECO
EDUCACIÓN</t>
  </si>
  <si>
    <t>SF-PY6.3</t>
  </si>
  <si>
    <t>Fomento de proyectos para  asociaciones, convenios, movilidad  y vinculación a proyección social e investigación para graduados.</t>
  </si>
  <si>
    <t>TOTAL SUBSISTEMA DE FORMACION</t>
  </si>
  <si>
    <t>INVESTIGACION</t>
  </si>
  <si>
    <t>SI-PY1. Formación en Investigación.</t>
  </si>
  <si>
    <t>SI-PY1.1</t>
  </si>
  <si>
    <t>Talleres de formación</t>
  </si>
  <si>
    <t>VIPS</t>
  </si>
  <si>
    <t>SI-PY1.2</t>
  </si>
  <si>
    <t>Grupos escolares</t>
  </si>
  <si>
    <t>SI-PY2.  Desarrollo proyectos Internos de investigación.</t>
  </si>
  <si>
    <t>SI-PY2.1</t>
  </si>
  <si>
    <t>Semilleros</t>
  </si>
  <si>
    <t>VIPS INGENIERÍA
EDUCACIÓN FACIEN</t>
  </si>
  <si>
    <t>SI-PY2.2</t>
  </si>
  <si>
    <t>Trabajos de grado</t>
  </si>
  <si>
    <t xml:space="preserve">VIPS </t>
  </si>
  <si>
    <t>SI-PY2.3</t>
  </si>
  <si>
    <t xml:space="preserve"> Menor cuantía</t>
  </si>
  <si>
    <t>SI-PY2.4</t>
  </si>
  <si>
    <t>Mediana cuantía</t>
  </si>
  <si>
    <t>SI-PY2.5</t>
  </si>
  <si>
    <t>Mayor cuantía</t>
  </si>
  <si>
    <t>SI-PY2.6</t>
  </si>
  <si>
    <t>Doctorados</t>
  </si>
  <si>
    <t>SI-PY2.7</t>
  </si>
  <si>
    <t>Jóvenes Investigadores</t>
  </si>
  <si>
    <t>VIPS   INGENIERÍA</t>
  </si>
  <si>
    <t>SI-PY3.  Fortalecimiento de  las capacidades investigativas.</t>
  </si>
  <si>
    <t>SI-PY3.1</t>
  </si>
  <si>
    <t xml:space="preserve"> Eventos académico- científicos</t>
  </si>
  <si>
    <t xml:space="preserve">
VIPS INGENIERÍA EDUCACIÓN
</t>
  </si>
  <si>
    <t>SI-PY3.2</t>
  </si>
  <si>
    <t>Ponencias</t>
  </si>
  <si>
    <t xml:space="preserve">
VIPS
  FACECO 
EDUCACIÓN  FACIEN 
</t>
  </si>
  <si>
    <t>SI-PY3.3</t>
  </si>
  <si>
    <t>Vinculación y Desarrollo en redes académicas, científicas e investigativas</t>
  </si>
  <si>
    <t xml:space="preserve">VIPS,  INGENIERÍA
FACECO 
</t>
  </si>
  <si>
    <t>SI-PY3.4</t>
  </si>
  <si>
    <t xml:space="preserve"> Fortalecimiento de los Centros  e Institutos de Investigación</t>
  </si>
  <si>
    <t xml:space="preserve">VIPS, INGENIERÍA  FACECO 
  FACIEN 
</t>
  </si>
  <si>
    <t>SI-PY3.5</t>
  </si>
  <si>
    <t>Fortalecimiento de los Grupos e Investigadores</t>
  </si>
  <si>
    <t xml:space="preserve">VIPS, INGENIERÍA  FACECO 
EDUCACIÓN  FACIEN 
</t>
  </si>
  <si>
    <t>SI-PY3.6</t>
  </si>
  <si>
    <t xml:space="preserve"> Vigilancia Tecnológica</t>
  </si>
  <si>
    <t>SI-PY3.7</t>
  </si>
  <si>
    <t>Artículos en Revistas Indexadas</t>
  </si>
  <si>
    <t>VIPS, INGENIERÍA
FACECO</t>
  </si>
  <si>
    <t>SI-PY3.8</t>
  </si>
  <si>
    <t>Consolidación e Implementación del Plan Estratégico de Ciencia, Tecnología e Innovación -PECTI</t>
  </si>
  <si>
    <t>SI-PY3.9</t>
  </si>
  <si>
    <t>Apoyo laboratorios de investigación</t>
  </si>
  <si>
    <t>SI-PY3.10</t>
  </si>
  <si>
    <t>Apoyo al desarrollo de doctorados.</t>
  </si>
  <si>
    <t>VIPS, INGENIERÍA</t>
  </si>
  <si>
    <t>SI-PY4.   Propiedad Intelectual.</t>
  </si>
  <si>
    <t>SI-PY4.1</t>
  </si>
  <si>
    <t>Registro</t>
  </si>
  <si>
    <t>SI-PY4.2</t>
  </si>
  <si>
    <t>Validación</t>
  </si>
  <si>
    <t>SI-PY5. Proyectos de investigación a través de Convenios</t>
  </si>
  <si>
    <t>SI-PY5.1</t>
  </si>
  <si>
    <t>Desarrollo de proyectos</t>
  </si>
  <si>
    <t>SI-PY6.  Fortalecimiento de procesos Editoriales Institucionales</t>
  </si>
  <si>
    <t>SI-PY6.1</t>
  </si>
  <si>
    <t>Procesos editoriales</t>
  </si>
  <si>
    <t>VIPS
INGENIERÍA</t>
  </si>
  <si>
    <t>SI-PY6.2</t>
  </si>
  <si>
    <t>Revistas Científicas</t>
  </si>
  <si>
    <t>VIPS, INGENIERÍA 
FACECO</t>
  </si>
  <si>
    <t>SI-PY6.3</t>
  </si>
  <si>
    <t>Publicación de libros desde la Editorial de la Universidad</t>
  </si>
  <si>
    <t>TOTAL SUBSISTEMA: DE INVESTIGACIÓN</t>
  </si>
  <si>
    <t>PROYECCION SOCIAL</t>
  </si>
  <si>
    <t>SP-PY1.  Internacionalización académico-investigativa y de la extensión.</t>
  </si>
  <si>
    <t>SP-PY1.1</t>
  </si>
  <si>
    <t>Fortalecimiento de la gestión de la Internacionalización</t>
  </si>
  <si>
    <t>VIPS
FACIEN</t>
  </si>
  <si>
    <t>SP-PY1.2</t>
  </si>
  <si>
    <t xml:space="preserve"> Fomento a la internacionalización en casa</t>
  </si>
  <si>
    <t>VIPS  EDUCACIÓN</t>
  </si>
  <si>
    <t>SP-PY1.3</t>
  </si>
  <si>
    <t xml:space="preserve"> Fortalecimiento de la articulación interinstitucional</t>
  </si>
  <si>
    <t>SP-PY1.4</t>
  </si>
  <si>
    <t xml:space="preserve"> Fortalecimiento de la movilidad académica e investigativa</t>
  </si>
  <si>
    <t xml:space="preserve">VIPS  
F.INGENIERÍA EDUCACIÓN  FACIEN 
</t>
  </si>
  <si>
    <t>SP-PY2.   Estructuración y Desarrollo de las unidades de atención especializada de la Universidad Surcolombiana.</t>
  </si>
  <si>
    <t>SP-PY2.1</t>
  </si>
  <si>
    <t>Operación y desarrollo del Centro de Emprendimiento e Innovación.</t>
  </si>
  <si>
    <t>SP-PY2.2</t>
  </si>
  <si>
    <t xml:space="preserve">Operación y desarrollo del Consultorio Empresarial y Contable </t>
  </si>
  <si>
    <t>SP-PY2.3</t>
  </si>
  <si>
    <t xml:space="preserve"> Unidades de Servicios de Atención Psicológica (USAP): Consultorio clínico Neiva. </t>
  </si>
  <si>
    <t>SP-PY2.4</t>
  </si>
  <si>
    <t>Unidades de Servicios de Atención Psicológica (USAP): Orientación y acompañamiento psicosocial Neiva</t>
  </si>
  <si>
    <t>SP-PY2.5</t>
  </si>
  <si>
    <t xml:space="preserve"> Unidades de Servicios de Atención Psicológica (USAP): Orientación y acompañamiento psicosocial Sedes</t>
  </si>
  <si>
    <t>SP-PY2.6</t>
  </si>
  <si>
    <t xml:space="preserve"> Operación y desarrollo del Centro de Conciliación</t>
  </si>
  <si>
    <t>SP-PY2.7</t>
  </si>
  <si>
    <t xml:space="preserve">Operación y desarrollo  del Consultorio Jurídico. </t>
  </si>
  <si>
    <t>SP-PY2.8</t>
  </si>
  <si>
    <t>Unidad de desarrollo de software y contenidos digitales</t>
  </si>
  <si>
    <t xml:space="preserve">SP-PY3. Reformulación y fortalecimiento de las modalidades y formas de Proyección Social. </t>
  </si>
  <si>
    <t>SP-PY3.1</t>
  </si>
  <si>
    <t>Proyectos de Proyeccion Social</t>
  </si>
  <si>
    <t xml:space="preserve">VIPS  FACECO 
F. INGENIERÍA EDUCACIÓN
F.C.S. Y H.  FACIEN 
</t>
  </si>
  <si>
    <t>SP-PY3.2</t>
  </si>
  <si>
    <t xml:space="preserve"> Formación continuada</t>
  </si>
  <si>
    <t>SP-PY3.3</t>
  </si>
  <si>
    <t xml:space="preserve">Eventos de Proyección Social </t>
  </si>
  <si>
    <t xml:space="preserve">
VIPS, INGENIERÍA  FACECO, EDUCACIÓN 
</t>
  </si>
  <si>
    <t>SP-PY3.4</t>
  </si>
  <si>
    <t xml:space="preserve"> Convenio de Proyección social</t>
  </si>
  <si>
    <t>SP-PY3.5</t>
  </si>
  <si>
    <t xml:space="preserve"> Apoyo a estudiantes en prácticas, pasantías y judicaturas</t>
  </si>
  <si>
    <t xml:space="preserve">VIPS   
F. EDUCACIÓN     </t>
  </si>
  <si>
    <t>SP-PY4.  Comunicación estratégica e imagen institucional</t>
  </si>
  <si>
    <t>SP-PY4.1</t>
  </si>
  <si>
    <t>Prensa</t>
  </si>
  <si>
    <t>SP-PY4.2</t>
  </si>
  <si>
    <t>Radio</t>
  </si>
  <si>
    <t>SP-PY4.3</t>
  </si>
  <si>
    <t>Televisión</t>
  </si>
  <si>
    <t>SP-PY4.4</t>
  </si>
  <si>
    <t>Comunicación Organizacional</t>
  </si>
  <si>
    <t xml:space="preserve">VIPS  INGENIERÍA 
EDUCACIÓN
</t>
  </si>
  <si>
    <t>SP-PY5.  Estructuración y Desarrollo de la agenda Social Regional.</t>
  </si>
  <si>
    <t>SP-PY5.1</t>
  </si>
  <si>
    <t>Construcción de una  Agenda Prospectiva para el desarrollo Social y humano del Departamento del Huila</t>
  </si>
  <si>
    <t>SP-PY5.2</t>
  </si>
  <si>
    <t>Formación y capacitación  en formulación, seguimiento y evaluación de políticas públicas</t>
  </si>
  <si>
    <t>SP-PY5.3</t>
  </si>
  <si>
    <t>Investigación y generación de conocimiento sobre  políticas públicas regionales.</t>
  </si>
  <si>
    <t>SP-PY5.4</t>
  </si>
  <si>
    <t xml:space="preserve"> Creación y puesta en funcionamiento del Observatorio Regional de Políticas Públicas</t>
  </si>
  <si>
    <t>SP-PY6.Regionalización.</t>
  </si>
  <si>
    <t>SP-PY6.1</t>
  </si>
  <si>
    <t>Fortalecimiento de las sedes regionales</t>
  </si>
  <si>
    <t>TOTAL SUBSISTEMA DE PROYECCION SOCIAL</t>
  </si>
  <si>
    <t>BIENESTAR UNIVERSITARIO</t>
  </si>
  <si>
    <t>SB-PY1.   Universidad Saludable.</t>
  </si>
  <si>
    <t>SB-PY1.1</t>
  </si>
  <si>
    <t>Atención Médica a Estudiantes</t>
  </si>
  <si>
    <t>VIC. ADTIVA.</t>
  </si>
  <si>
    <t>SB-PY1.2</t>
  </si>
  <si>
    <t xml:space="preserve"> Atención Odontológica a Estudiantes</t>
  </si>
  <si>
    <t>SB-PY1.3</t>
  </si>
  <si>
    <t>Atención Psicológico a Estudiantes</t>
  </si>
  <si>
    <t>SB-PY1.4</t>
  </si>
  <si>
    <t xml:space="preserve"> PyP - Promoción y prevención médica</t>
  </si>
  <si>
    <t>SB-PY1.5</t>
  </si>
  <si>
    <t xml:space="preserve"> PyP - Promoción y Prevención odontológica</t>
  </si>
  <si>
    <t>SB-PY1.6</t>
  </si>
  <si>
    <t xml:space="preserve"> PyP - Promoción y prevención sicológica en Población Vulnerable.</t>
  </si>
  <si>
    <t>SB-PY1.7</t>
  </si>
  <si>
    <t xml:space="preserve"> Formación sanología para la comunidad universitaria "USCO SALUDABLE".</t>
  </si>
  <si>
    <t>SB-PY2. Actividad física, deporte y recreación.</t>
  </si>
  <si>
    <t>SB-PY2.1</t>
  </si>
  <si>
    <t xml:space="preserve"> Formación Deportiva en las diferentes disciplinas.</t>
  </si>
  <si>
    <t xml:space="preserve">VIC. ADTIVA. EDUCACIÓN </t>
  </si>
  <si>
    <t>SB-PY2.2</t>
  </si>
  <si>
    <t>Representación - Competitiva</t>
  </si>
  <si>
    <t>SB-PY2.3</t>
  </si>
  <si>
    <t>Recreación y Aprovechamiento del Tiempo Libre</t>
  </si>
  <si>
    <t>VIC. ADTIVA.   FACIEN</t>
  </si>
  <si>
    <t>SB-PY3.  Cultura con responsabilidad y compromiso.</t>
  </si>
  <si>
    <t>SB-PY3.1</t>
  </si>
  <si>
    <t>Formación en modalidades artístiscas</t>
  </si>
  <si>
    <t>SB-PY3.2</t>
  </si>
  <si>
    <t>Puestas en escena de los grupos artísticos</t>
  </si>
  <si>
    <t>VIC. ADTIVA. 
EDUCACIÓN</t>
  </si>
  <si>
    <t>SB-PY4.Desarrollo humano.</t>
  </si>
  <si>
    <t>SB-PY4.1</t>
  </si>
  <si>
    <t>Interacción entre los integrantes de la comunidad universitaria.</t>
  </si>
  <si>
    <t>VIC. ADTIVA. 
INGENIERÍA FACECO EDUCACIÓN</t>
  </si>
  <si>
    <t>SB-PY4.2</t>
  </si>
  <si>
    <t xml:space="preserve"> Atención a la población con enfoque diferencial.</t>
  </si>
  <si>
    <t>SB-PY4.3</t>
  </si>
  <si>
    <t xml:space="preserve"> Inducción institucional a estudiantes nuevos.</t>
  </si>
  <si>
    <t>SB-PY5.  Fomento a la permanencia y graduación.</t>
  </si>
  <si>
    <t>SB-PY5.1</t>
  </si>
  <si>
    <t>Becas, descuentos y exenciones de matrículas</t>
  </si>
  <si>
    <t>SB-PY5.2</t>
  </si>
  <si>
    <t>Servicio de Restaurante</t>
  </si>
  <si>
    <t>SB-PY5.3</t>
  </si>
  <si>
    <t>Acompañamiento académico</t>
  </si>
  <si>
    <t>SB-PY5.4</t>
  </si>
  <si>
    <t>Acompañamiento sicosocial</t>
  </si>
  <si>
    <t>TOTAL SUBSISTEMA BIENESTAR UNIVERSITARIO</t>
  </si>
  <si>
    <t>SA.PY.1  Desarrollo Planta Fisica.</t>
  </si>
  <si>
    <t>SA-PY1.1</t>
  </si>
  <si>
    <t>Construcción  de edificios</t>
  </si>
  <si>
    <t>SA-PY1.2</t>
  </si>
  <si>
    <t>Construcción de  campos deportivos</t>
  </si>
  <si>
    <t>SA-PY1.3</t>
  </si>
  <si>
    <t>Adecuar accesos para discapacitados</t>
  </si>
  <si>
    <t>SA-PY1.4</t>
  </si>
  <si>
    <t>Adecuar planta física existente</t>
  </si>
  <si>
    <t xml:space="preserve">VIC. ADTIVA. 
EDUCACIÓN </t>
  </si>
  <si>
    <t>SA-PY1.5</t>
  </si>
  <si>
    <t>Mantener edificaciones y campos deportivos</t>
  </si>
  <si>
    <t>SA-PY.2  Dotación de Equipos y muebles</t>
  </si>
  <si>
    <t>SA-PY2.1</t>
  </si>
  <si>
    <t>Dotación de equipos para los laboratorios y talleres para Docencia</t>
  </si>
  <si>
    <t>VIC. ADTIVA. 
EDUCACIÓN  FACIEN</t>
  </si>
  <si>
    <t>SA-PY2.2</t>
  </si>
  <si>
    <t>Mantenimiento Preventivo y Correctivo Laboratorios de Docencia</t>
  </si>
  <si>
    <t xml:space="preserve">VIC. ADTIVA. 
INGENIERÍA EDUCACIÓN  </t>
  </si>
  <si>
    <t>SA-PY2.3</t>
  </si>
  <si>
    <t>Dotación de vidriería, reactivos e insumos para laboratorios de docencia</t>
  </si>
  <si>
    <t>SA-PY2.4</t>
  </si>
  <si>
    <t>Dotación de equipos y aplicativos para laboratorios de Investigación</t>
  </si>
  <si>
    <t>SA-PY2.5</t>
  </si>
  <si>
    <t>Mantenimiento de equipos y aplicativos para laboratorios de Investigación</t>
  </si>
  <si>
    <t>ADMINISTRATIVO</t>
  </si>
  <si>
    <t>SA-PY2.6</t>
  </si>
  <si>
    <t>Dotación de vidriería, reactivos e insumos para laboratorios de investigación</t>
  </si>
  <si>
    <t>SA-PY2.7</t>
  </si>
  <si>
    <t>Dotación de Aulas de equipos y muebles</t>
  </si>
  <si>
    <t>VIC. ADTIVA. FACECO    F.C.S.Y H.
FACIEN</t>
  </si>
  <si>
    <t>SA-PY2.8</t>
  </si>
  <si>
    <t>Mantenimiento dotación de aulas</t>
  </si>
  <si>
    <t>SA-PY2.9</t>
  </si>
  <si>
    <t>Dotación de oficinas</t>
  </si>
  <si>
    <t xml:space="preserve">VIC. ADTIVA. FACECO EDUCACIÓN F.C.S. Y H.      </t>
  </si>
  <si>
    <t>SA-PY2.10</t>
  </si>
  <si>
    <t>Mantenimiento de las oficinas</t>
  </si>
  <si>
    <t xml:space="preserve">VIC. ADTIVA. 
  F.C.J. Y P.  </t>
  </si>
  <si>
    <t>PY.2  Dotación de Equipos y muebles</t>
  </si>
  <si>
    <t>SA-PY2.11</t>
  </si>
  <si>
    <t>Adquirir bibliografía fisica y Digital</t>
  </si>
  <si>
    <t>VIC. ADTIVA. 
INGENIERÍA FACECO EDUCACIÓN  F.C.S. Y H.     FACIEN</t>
  </si>
  <si>
    <t>SA-PY2.12</t>
  </si>
  <si>
    <t>Acceso a bases de datos (bibliografía)</t>
  </si>
  <si>
    <t xml:space="preserve">VIC. ADTIVA. 
  SALUD EDUCACIÓN  </t>
  </si>
  <si>
    <t>SA-PY3.  Desarrollo Tecnológico.</t>
  </si>
  <si>
    <t>SA-PY3.1</t>
  </si>
  <si>
    <t>Adquisición de equipos con destino a información y comunicación</t>
  </si>
  <si>
    <t>VIC. ADTIVA.
EDUCACIÓN</t>
  </si>
  <si>
    <t>SA-PY3.2</t>
  </si>
  <si>
    <t>Mantenimiento de equipos con destino a información y comunicación</t>
  </si>
  <si>
    <t>SA-PY3.3</t>
  </si>
  <si>
    <t>Desarrollo de Aplicativos</t>
  </si>
  <si>
    <t>SA-PY3.4</t>
  </si>
  <si>
    <t>Mantenimiento y adecuaciones a aplicativos</t>
  </si>
  <si>
    <t>SA-PY3.5</t>
  </si>
  <si>
    <t>Adquisición y Renovación de licencias</t>
  </si>
  <si>
    <t>VIC. ADTIVA.  EDUCACIÓN</t>
  </si>
  <si>
    <t>SA-PY. 4 Fortalecimiento de los sistemas de gestión</t>
  </si>
  <si>
    <t>SA-PY4.1</t>
  </si>
  <si>
    <t>Desarrollo del Sistema de gestión de Calidad</t>
  </si>
  <si>
    <t>SA-PY4.2</t>
  </si>
  <si>
    <t>Desarrollo documental de los requisitos generales para la competencias de los laboratorios de prueba y calibración</t>
  </si>
  <si>
    <t>SA-PY4.3</t>
  </si>
  <si>
    <t>Desarrollo d el Sistema de gestión Ambiental</t>
  </si>
  <si>
    <t>SA-PY4.4</t>
  </si>
  <si>
    <t>Desarrollar el Sistema de seguridad y salud en el trabajo</t>
  </si>
  <si>
    <t>SA-PY4.5</t>
  </si>
  <si>
    <t>Mantener y mejorar el Sistema de gestión de seguridad de la información</t>
  </si>
  <si>
    <t>SA-PY4.6</t>
  </si>
  <si>
    <t>Mantener y mejorar el Sistema de gestión documental</t>
  </si>
  <si>
    <t>VIC. ADTIVA.    F. INGENIERÍA</t>
  </si>
  <si>
    <t>SA-PY4.7</t>
  </si>
  <si>
    <t>Mantener y mejorar el Sistema de gestión de Planeación</t>
  </si>
  <si>
    <t>PY.5 Formación y Capacitación del Personal Administrativo y Operativo</t>
  </si>
  <si>
    <t>SA-PY5.1</t>
  </si>
  <si>
    <t>Definir y desarrollar Plan de formación</t>
  </si>
  <si>
    <t>SA-PY5.2</t>
  </si>
  <si>
    <t xml:space="preserve">Definir y desarrollar Plan de capacitación </t>
  </si>
  <si>
    <t>VIC. ADTIVA. EDUCACIÓN</t>
  </si>
  <si>
    <t>TOTAL SUBSISTEMA ADMINISTRATIVO</t>
  </si>
  <si>
    <t>TOTALES</t>
  </si>
  <si>
    <t>CONSTRUCCIONES</t>
  </si>
  <si>
    <t>ADQUISICION EQUIPOS</t>
  </si>
  <si>
    <t>CAPACITACION</t>
  </si>
  <si>
    <t>INVESTIGACIONES</t>
  </si>
  <si>
    <t>PLANEACION</t>
  </si>
  <si>
    <t>EXTENSION</t>
  </si>
  <si>
    <t>TOTAL PLAN DE ACCION 2021</t>
  </si>
  <si>
    <t xml:space="preserve">  ASIGNADO</t>
  </si>
  <si>
    <t>EJECUTADO</t>
  </si>
  <si>
    <t>%  EJECUCIÓN</t>
  </si>
  <si>
    <t>S. FORMACIÓN</t>
  </si>
  <si>
    <t>S. INVESTIGACIÓN</t>
  </si>
  <si>
    <t>S. PROYECCIÓN SOCIAL</t>
  </si>
  <si>
    <t>S. BIENESTAR UNIVERSITARIO</t>
  </si>
  <si>
    <t>S. ADMINISTRATIVO</t>
  </si>
  <si>
    <t>CONSTRUCCIÓN</t>
  </si>
  <si>
    <t>DOTACIÓN</t>
  </si>
  <si>
    <t>CAPACITACIÓN</t>
  </si>
  <si>
    <t>INVESTIGACIÓN</t>
  </si>
  <si>
    <t>PLANEACIÓN</t>
  </si>
  <si>
    <t>EXTENSIÓN</t>
  </si>
  <si>
    <t>RECURSOS ASIGNADOS</t>
  </si>
  <si>
    <t>EJECUCIÓN EN CDP</t>
  </si>
  <si>
    <t>$</t>
  </si>
  <si>
    <t>SALDOS POR EJECUTAR EN CDP</t>
  </si>
  <si>
    <t>SALDOS POR EJECUTAR  R.P.</t>
  </si>
  <si>
    <t>EJECUCIÓN PLAN DE ACCIÓN A 31 DE DICIEMBRE DE 2021</t>
  </si>
  <si>
    <t xml:space="preserve"> R. EJECUTADOS  </t>
  </si>
  <si>
    <t>SUBISTEMA</t>
  </si>
  <si>
    <t>FORMACIÓN</t>
  </si>
  <si>
    <t>PROYECCIÓN SOCIAL</t>
  </si>
  <si>
    <t>EJECUCIÓN TOTAL</t>
  </si>
  <si>
    <t>R. EJECUTADOS A NOVIEMBRE</t>
  </si>
  <si>
    <t>R. EJECUTADOS EN DICIEMBRE</t>
  </si>
  <si>
    <t>EJECUCIÓN ACUMULADA A DICIEMBRE</t>
  </si>
  <si>
    <t>% EJECUCIÓN ACUMULADA</t>
  </si>
  <si>
    <t>OBSERVACIONES:</t>
  </si>
  <si>
    <t>Los Subsistemas que ejecutaron más recursos:  Proyección Social 82,32%, Investigación 59,09%, Formación 56,02%, Administrativo 51,29% y Bienestar con 46,72%.</t>
  </si>
  <si>
    <t xml:space="preserve">La baja ejecución del Subsistema de Bienestar se debe a que no se contrató el servicio de restaurante, en razón a que el desarrollo de las clases fue virtual.  </t>
  </si>
  <si>
    <t>El Plan de Acción a 31 diciembre de 2021 quedó en $47.285.614.871,  ejecutándose el valor de $26.211.798.776, correspondiente al 55.43% total, quedando</t>
  </si>
  <si>
    <t xml:space="preserve"> prevención porque no se contaba con los estudiantes para realizar las campañas.  En Deportes no se participó ni realizaron eventos que estaban programados.</t>
  </si>
  <si>
    <t xml:space="preserve">No se contrató el servicio médico y odontológico de las sedes, ya que fueron atendidas en Neiva virtualmente; no se ejecutaron los recursos de promoción y </t>
  </si>
  <si>
    <t>En el Subsistema Administrativo, no se alcanzó a ejecutar los recursos de los Planes de Fomento por valor de $6.530.045.137, parte de éstos recursos ingresaron a</t>
  </si>
  <si>
    <t>recursos por ejecutar por valor de  $21.073.816.095, porcentaje muy bajo de ejecución.</t>
  </si>
  <si>
    <t>en proceso de contratación.</t>
  </si>
  <si>
    <t xml:space="preserve">En el Proyecto 3. Cultura con responsabilidad y compromiso se hicieron unos procesos para comprar equipos y elementos necesarios para el Proyecto, quedando </t>
  </si>
  <si>
    <t xml:space="preserve"> tiempo y varios quedaron en Contratación en trámites razón por la cual se cancelaron.</t>
  </si>
  <si>
    <t>finales de agosto de 2021, destinados a infraestructura y dotación de laboratorios, no alcanzaron a ejecutarse porque los procesos de contratación requieren 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</si>
</sst>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&quot;$ &quot;#,##0"/>
    <numFmt numFmtId="165" formatCode="#,##0\ ;[Red]\-#,##0\ "/>
    <numFmt numFmtId="166" formatCode="&quot;$&quot;\ #,##0;[Red]\(&quot;$&quot;\ #,##0\)"/>
    <numFmt numFmtId="167" formatCode="&quot;$&quot;\ #,##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sz val="12"/>
      <color indexed="8"/>
      <name val="Arial Narrow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0" fillId="0" borderId="0"/>
    <xf numFmtId="0" fontId="1" fillId="0" borderId="0"/>
  </cellStyleXfs>
  <cellXfs count="223">
    <xf numFmtId="0" fontId="0" fillId="0" borderId="0" xfId="0"/>
    <xf numFmtId="0" fontId="0" fillId="0" borderId="0" xfId="0" applyBorder="1"/>
    <xf numFmtId="0" fontId="2" fillId="0" borderId="0" xfId="0" applyFont="1" applyBorder="1" applyAlignment="1">
      <alignment vertical="center"/>
    </xf>
    <xf numFmtId="0" fontId="0" fillId="0" borderId="1" xfId="0" applyBorder="1"/>
    <xf numFmtId="0" fontId="3" fillId="2" borderId="2" xfId="0" applyFont="1" applyFill="1" applyBorder="1" applyAlignment="1">
      <alignment vertical="center" wrapText="1"/>
    </xf>
    <xf numFmtId="0" fontId="3" fillId="2" borderId="5" xfId="0" applyFont="1" applyFill="1" applyBorder="1" applyAlignment="1">
      <alignment wrapText="1"/>
    </xf>
    <xf numFmtId="0" fontId="0" fillId="2" borderId="6" xfId="0" applyFill="1" applyBorder="1" applyAlignment="1">
      <alignment wrapText="1"/>
    </xf>
    <xf numFmtId="0" fontId="3" fillId="5" borderId="7" xfId="0" applyFont="1" applyFill="1" applyBorder="1" applyAlignment="1">
      <alignment vertical="center" wrapText="1"/>
    </xf>
    <xf numFmtId="0" fontId="0" fillId="6" borderId="7" xfId="0" applyFill="1" applyBorder="1" applyAlignment="1">
      <alignment wrapText="1"/>
    </xf>
    <xf numFmtId="0" fontId="0" fillId="6" borderId="7" xfId="0" applyFill="1" applyBorder="1" applyAlignment="1">
      <alignment vertical="center" wrapText="1"/>
    </xf>
    <xf numFmtId="0" fontId="3" fillId="5" borderId="3" xfId="0" applyFont="1" applyFill="1" applyBorder="1" applyAlignment="1">
      <alignment vertical="center" wrapText="1"/>
    </xf>
    <xf numFmtId="0" fontId="0" fillId="5" borderId="9" xfId="0" applyFill="1" applyBorder="1" applyAlignment="1">
      <alignment vertical="center" wrapText="1"/>
    </xf>
    <xf numFmtId="0" fontId="5" fillId="6" borderId="7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0" fontId="5" fillId="5" borderId="7" xfId="0" applyFont="1" applyFill="1" applyBorder="1" applyAlignment="1">
      <alignment horizontal="center" vertical="center" wrapText="1"/>
    </xf>
    <xf numFmtId="0" fontId="7" fillId="6" borderId="7" xfId="0" applyFont="1" applyFill="1" applyBorder="1" applyAlignment="1">
      <alignment horizontal="center" vertical="center"/>
    </xf>
    <xf numFmtId="0" fontId="5" fillId="0" borderId="0" xfId="0" applyFont="1"/>
    <xf numFmtId="0" fontId="6" fillId="0" borderId="7" xfId="0" applyFont="1" applyBorder="1" applyAlignment="1">
      <alignment horizontal="center" vertical="center" wrapText="1"/>
    </xf>
    <xf numFmtId="0" fontId="8" fillId="0" borderId="7" xfId="0" applyFont="1" applyFill="1" applyBorder="1" applyAlignment="1">
      <alignment vertical="center" wrapText="1"/>
    </xf>
    <xf numFmtId="0" fontId="8" fillId="0" borderId="7" xfId="0" applyFont="1" applyFill="1" applyBorder="1" applyAlignment="1">
      <alignment horizontal="center" vertical="center" wrapText="1"/>
    </xf>
    <xf numFmtId="3" fontId="9" fillId="0" borderId="7" xfId="0" applyNumberFormat="1" applyFont="1" applyFill="1" applyBorder="1" applyAlignment="1">
      <alignment horizontal="center" vertical="center" wrapText="1"/>
    </xf>
    <xf numFmtId="3" fontId="10" fillId="2" borderId="7" xfId="0" applyNumberFormat="1" applyFont="1" applyFill="1" applyBorder="1" applyAlignment="1">
      <alignment horizontal="right" vertical="center" wrapText="1"/>
    </xf>
    <xf numFmtId="38" fontId="10" fillId="2" borderId="7" xfId="0" applyNumberFormat="1" applyFont="1" applyFill="1" applyBorder="1" applyAlignment="1">
      <alignment horizontal="right" vertical="center" wrapText="1"/>
    </xf>
    <xf numFmtId="10" fontId="11" fillId="0" borderId="7" xfId="0" applyNumberFormat="1" applyFont="1" applyBorder="1" applyAlignment="1">
      <alignment horizontal="center" vertical="center"/>
    </xf>
    <xf numFmtId="3" fontId="12" fillId="0" borderId="10" xfId="0" applyNumberFormat="1" applyFont="1" applyFill="1" applyBorder="1" applyAlignment="1">
      <alignment horizontal="right" vertical="center" wrapText="1"/>
    </xf>
    <xf numFmtId="3" fontId="10" fillId="2" borderId="10" xfId="0" applyNumberFormat="1" applyFont="1" applyFill="1" applyBorder="1" applyAlignment="1">
      <alignment horizontal="right" vertical="center" wrapText="1"/>
    </xf>
    <xf numFmtId="3" fontId="12" fillId="0" borderId="7" xfId="0" applyNumberFormat="1" applyFont="1" applyFill="1" applyBorder="1" applyAlignment="1">
      <alignment horizontal="right" vertical="center" wrapText="1"/>
    </xf>
    <xf numFmtId="3" fontId="0" fillId="0" borderId="0" xfId="0" applyNumberFormat="1" applyAlignment="1">
      <alignment vertical="center"/>
    </xf>
    <xf numFmtId="0" fontId="0" fillId="0" borderId="12" xfId="0" applyBorder="1" applyAlignment="1">
      <alignment vertical="center" textRotation="255"/>
    </xf>
    <xf numFmtId="0" fontId="8" fillId="2" borderId="7" xfId="0" applyFont="1" applyFill="1" applyBorder="1" applyAlignment="1">
      <alignment vertical="center" wrapText="1"/>
    </xf>
    <xf numFmtId="0" fontId="8" fillId="2" borderId="7" xfId="0" applyFont="1" applyFill="1" applyBorder="1" applyAlignment="1">
      <alignment horizontal="center" vertical="center" wrapText="1"/>
    </xf>
    <xf numFmtId="3" fontId="9" fillId="2" borderId="7" xfId="0" applyNumberFormat="1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left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0" fillId="0" borderId="11" xfId="0" applyFont="1" applyBorder="1" applyAlignment="1">
      <alignment horizontal="left" vertical="center" wrapText="1"/>
    </xf>
    <xf numFmtId="3" fontId="9" fillId="0" borderId="7" xfId="0" applyNumberFormat="1" applyFont="1" applyFill="1" applyBorder="1" applyAlignment="1">
      <alignment horizontal="center" wrapText="1"/>
    </xf>
    <xf numFmtId="0" fontId="0" fillId="7" borderId="7" xfId="0" applyFill="1" applyBorder="1" applyAlignment="1">
      <alignment textRotation="255"/>
    </xf>
    <xf numFmtId="0" fontId="0" fillId="2" borderId="0" xfId="0" applyFill="1"/>
    <xf numFmtId="3" fontId="0" fillId="2" borderId="0" xfId="0" applyNumberFormat="1" applyFill="1"/>
    <xf numFmtId="0" fontId="0" fillId="0" borderId="11" xfId="0" applyBorder="1" applyAlignment="1">
      <alignment vertical="center" textRotation="255"/>
    </xf>
    <xf numFmtId="3" fontId="12" fillId="2" borderId="7" xfId="0" applyNumberFormat="1" applyFont="1" applyFill="1" applyBorder="1" applyAlignment="1">
      <alignment horizontal="right" vertical="center" wrapText="1"/>
    </xf>
    <xf numFmtId="10" fontId="11" fillId="0" borderId="13" xfId="0" applyNumberFormat="1" applyFont="1" applyBorder="1" applyAlignment="1">
      <alignment horizontal="center" vertical="center"/>
    </xf>
    <xf numFmtId="3" fontId="10" fillId="2" borderId="13" xfId="0" applyNumberFormat="1" applyFont="1" applyFill="1" applyBorder="1" applyAlignment="1">
      <alignment horizontal="right" vertical="center" wrapText="1"/>
    </xf>
    <xf numFmtId="0" fontId="6" fillId="2" borderId="7" xfId="0" applyFont="1" applyFill="1" applyBorder="1" applyAlignment="1">
      <alignment horizontal="center" vertical="center" wrapText="1"/>
    </xf>
    <xf numFmtId="3" fontId="9" fillId="2" borderId="7" xfId="0" applyNumberFormat="1" applyFont="1" applyFill="1" applyBorder="1" applyAlignment="1">
      <alignment horizontal="center" wrapText="1"/>
    </xf>
    <xf numFmtId="3" fontId="0" fillId="0" borderId="0" xfId="0" applyNumberFormat="1"/>
    <xf numFmtId="3" fontId="10" fillId="2" borderId="7" xfId="1" applyNumberFormat="1" applyFont="1" applyFill="1" applyBorder="1" applyAlignment="1">
      <alignment vertical="center"/>
    </xf>
    <xf numFmtId="0" fontId="0" fillId="0" borderId="12" xfId="0" applyBorder="1" applyAlignment="1">
      <alignment horizontal="center" vertical="center" textRotation="255"/>
    </xf>
    <xf numFmtId="0" fontId="0" fillId="7" borderId="7" xfId="0" applyFill="1" applyBorder="1" applyAlignment="1"/>
    <xf numFmtId="0" fontId="12" fillId="2" borderId="13" xfId="0" applyFont="1" applyFill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center" vertical="center" wrapText="1"/>
    </xf>
    <xf numFmtId="38" fontId="10" fillId="2" borderId="13" xfId="0" applyNumberFormat="1" applyFont="1" applyFill="1" applyBorder="1" applyAlignment="1">
      <alignment horizontal="right" vertical="center" wrapText="1"/>
    </xf>
    <xf numFmtId="0" fontId="8" fillId="0" borderId="11" xfId="0" applyFont="1" applyFill="1" applyBorder="1" applyAlignment="1">
      <alignment vertical="center" wrapText="1"/>
    </xf>
    <xf numFmtId="0" fontId="8" fillId="0" borderId="11" xfId="0" applyFont="1" applyFill="1" applyBorder="1" applyAlignment="1">
      <alignment horizontal="left" vertical="center" wrapText="1"/>
    </xf>
    <xf numFmtId="3" fontId="12" fillId="2" borderId="13" xfId="0" applyNumberFormat="1" applyFont="1" applyFill="1" applyBorder="1" applyAlignment="1">
      <alignment horizontal="right" vertical="center" wrapText="1"/>
    </xf>
    <xf numFmtId="0" fontId="0" fillId="7" borderId="7" xfId="0" applyFill="1" applyBorder="1"/>
    <xf numFmtId="10" fontId="11" fillId="2" borderId="7" xfId="0" applyNumberFormat="1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vertical="center" wrapText="1"/>
    </xf>
    <xf numFmtId="3" fontId="10" fillId="2" borderId="11" xfId="0" applyNumberFormat="1" applyFont="1" applyFill="1" applyBorder="1" applyAlignment="1">
      <alignment horizontal="right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3" fontId="10" fillId="0" borderId="7" xfId="0" applyNumberFormat="1" applyFont="1" applyFill="1" applyBorder="1" applyAlignment="1">
      <alignment horizontal="right" vertical="center" wrapText="1"/>
    </xf>
    <xf numFmtId="0" fontId="0" fillId="0" borderId="0" xfId="0" applyFill="1"/>
    <xf numFmtId="164" fontId="17" fillId="2" borderId="19" xfId="0" applyNumberFormat="1" applyFont="1" applyFill="1" applyBorder="1" applyAlignment="1">
      <alignment horizontal="right" vertical="center"/>
    </xf>
    <xf numFmtId="0" fontId="0" fillId="7" borderId="14" xfId="0" applyFill="1" applyBorder="1"/>
    <xf numFmtId="0" fontId="6" fillId="2" borderId="1" xfId="0" applyFont="1" applyFill="1" applyBorder="1" applyAlignment="1">
      <alignment horizontal="center" vertical="center" wrapText="1"/>
    </xf>
    <xf numFmtId="3" fontId="19" fillId="2" borderId="1" xfId="0" applyNumberFormat="1" applyFont="1" applyFill="1" applyBorder="1" applyAlignment="1">
      <alignment horizontal="right" vertical="center" wrapText="1"/>
    </xf>
    <xf numFmtId="38" fontId="19" fillId="8" borderId="1" xfId="0" applyNumberFormat="1" applyFont="1" applyFill="1" applyBorder="1" applyAlignment="1">
      <alignment horizontal="right" vertical="center" wrapText="1"/>
    </xf>
    <xf numFmtId="3" fontId="19" fillId="2" borderId="13" xfId="0" applyNumberFormat="1" applyFont="1" applyFill="1" applyBorder="1" applyAlignment="1">
      <alignment horizontal="right" vertical="center" wrapText="1"/>
    </xf>
    <xf numFmtId="3" fontId="12" fillId="2" borderId="1" xfId="0" applyNumberFormat="1" applyFont="1" applyFill="1" applyBorder="1" applyAlignment="1">
      <alignment horizontal="right" vertical="center" wrapText="1"/>
    </xf>
    <xf numFmtId="10" fontId="0" fillId="0" borderId="13" xfId="0" applyNumberFormat="1" applyBorder="1" applyAlignment="1">
      <alignment horizontal="center" vertical="center"/>
    </xf>
    <xf numFmtId="3" fontId="12" fillId="0" borderId="13" xfId="0" applyNumberFormat="1" applyFont="1" applyFill="1" applyBorder="1" applyAlignment="1">
      <alignment horizontal="right" vertical="center" wrapText="1"/>
    </xf>
    <xf numFmtId="3" fontId="12" fillId="0" borderId="20" xfId="0" applyNumberFormat="1" applyFont="1" applyFill="1" applyBorder="1" applyAlignment="1">
      <alignment horizontal="right" vertical="center" wrapText="1"/>
    </xf>
    <xf numFmtId="3" fontId="0" fillId="0" borderId="13" xfId="0" applyNumberFormat="1" applyBorder="1" applyAlignment="1">
      <alignment horizontal="right" vertical="center"/>
    </xf>
    <xf numFmtId="3" fontId="12" fillId="8" borderId="13" xfId="0" applyNumberFormat="1" applyFont="1" applyFill="1" applyBorder="1" applyAlignment="1">
      <alignment horizontal="right" vertical="center" wrapText="1"/>
    </xf>
    <xf numFmtId="10" fontId="8" fillId="0" borderId="7" xfId="0" applyNumberFormat="1" applyFont="1" applyBorder="1" applyAlignment="1">
      <alignment horizontal="center" vertical="center"/>
    </xf>
    <xf numFmtId="0" fontId="6" fillId="2" borderId="9" xfId="0" applyFont="1" applyFill="1" applyBorder="1" applyAlignment="1">
      <alignment vertical="center" wrapText="1"/>
    </xf>
    <xf numFmtId="0" fontId="0" fillId="2" borderId="9" xfId="0" applyFill="1" applyBorder="1"/>
    <xf numFmtId="3" fontId="8" fillId="0" borderId="9" xfId="0" applyNumberFormat="1" applyFont="1" applyFill="1" applyBorder="1"/>
    <xf numFmtId="38" fontId="8" fillId="8" borderId="9" xfId="0" applyNumberFormat="1" applyFont="1" applyFill="1" applyBorder="1"/>
    <xf numFmtId="3" fontId="8" fillId="0" borderId="7" xfId="0" applyNumberFormat="1" applyFont="1" applyFill="1" applyBorder="1"/>
    <xf numFmtId="3" fontId="6" fillId="2" borderId="9" xfId="0" applyNumberFormat="1" applyFont="1" applyFill="1" applyBorder="1" applyAlignment="1">
      <alignment horizontal="right" vertical="center" wrapText="1"/>
    </xf>
    <xf numFmtId="0" fontId="0" fillId="0" borderId="7" xfId="0" applyBorder="1" applyAlignment="1">
      <alignment horizontal="center" vertical="center"/>
    </xf>
    <xf numFmtId="0" fontId="0" fillId="0" borderId="9" xfId="0" applyFill="1" applyBorder="1"/>
    <xf numFmtId="165" fontId="6" fillId="2" borderId="9" xfId="0" applyNumberFormat="1" applyFont="1" applyFill="1" applyBorder="1" applyAlignment="1">
      <alignment horizontal="right" vertical="center" wrapText="1"/>
    </xf>
    <xf numFmtId="0" fontId="8" fillId="0" borderId="8" xfId="0" applyFont="1" applyFill="1" applyBorder="1"/>
    <xf numFmtId="0" fontId="8" fillId="0" borderId="9" xfId="0" applyFont="1" applyFill="1" applyBorder="1"/>
    <xf numFmtId="0" fontId="0" fillId="0" borderId="7" xfId="0" applyFill="1" applyBorder="1"/>
    <xf numFmtId="3" fontId="6" fillId="0" borderId="7" xfId="0" applyNumberFormat="1" applyFont="1" applyBorder="1" applyAlignment="1">
      <alignment horizontal="right" wrapText="1"/>
    </xf>
    <xf numFmtId="0" fontId="6" fillId="0" borderId="7" xfId="0" applyFont="1" applyBorder="1" applyAlignment="1">
      <alignment horizontal="right" vertical="center" wrapText="1"/>
    </xf>
    <xf numFmtId="3" fontId="6" fillId="0" borderId="7" xfId="0" applyNumberFormat="1" applyFont="1" applyBorder="1" applyAlignment="1">
      <alignment vertical="center" wrapText="1"/>
    </xf>
    <xf numFmtId="3" fontId="6" fillId="0" borderId="8" xfId="0" applyNumberFormat="1" applyFont="1" applyBorder="1" applyAlignment="1">
      <alignment vertical="center" wrapText="1"/>
    </xf>
    <xf numFmtId="3" fontId="6" fillId="8" borderId="8" xfId="0" applyNumberFormat="1" applyFont="1" applyFill="1" applyBorder="1" applyAlignment="1">
      <alignment vertical="center" wrapText="1"/>
    </xf>
    <xf numFmtId="3" fontId="12" fillId="0" borderId="7" xfId="0" applyNumberFormat="1" applyFont="1" applyBorder="1" applyAlignment="1">
      <alignment vertical="center" wrapText="1"/>
    </xf>
    <xf numFmtId="165" fontId="12" fillId="0" borderId="7" xfId="0" applyNumberFormat="1" applyFont="1" applyBorder="1" applyAlignment="1">
      <alignment vertical="center" wrapText="1"/>
    </xf>
    <xf numFmtId="165" fontId="12" fillId="0" borderId="8" xfId="0" applyNumberFormat="1" applyFont="1" applyBorder="1" applyAlignment="1">
      <alignment vertical="center" wrapText="1"/>
    </xf>
    <xf numFmtId="3" fontId="12" fillId="0" borderId="8" xfId="0" applyNumberFormat="1" applyFont="1" applyBorder="1" applyAlignment="1">
      <alignment vertical="center" wrapText="1"/>
    </xf>
    <xf numFmtId="165" fontId="6" fillId="0" borderId="7" xfId="0" applyNumberFormat="1" applyFont="1" applyBorder="1" applyAlignment="1">
      <alignment vertical="center" wrapText="1"/>
    </xf>
    <xf numFmtId="0" fontId="6" fillId="0" borderId="7" xfId="0" applyFont="1" applyBorder="1" applyAlignment="1">
      <alignment horizontal="right" wrapText="1"/>
    </xf>
    <xf numFmtId="0" fontId="0" fillId="0" borderId="7" xfId="0" applyBorder="1" applyAlignment="1">
      <alignment horizontal="center"/>
    </xf>
    <xf numFmtId="0" fontId="6" fillId="0" borderId="7" xfId="0" applyFont="1" applyBorder="1" applyAlignment="1">
      <alignment horizontal="right"/>
    </xf>
    <xf numFmtId="0" fontId="6" fillId="2" borderId="7" xfId="0" applyFont="1" applyFill="1" applyBorder="1" applyAlignment="1">
      <alignment horizontal="right" vertical="center" wrapText="1"/>
    </xf>
    <xf numFmtId="0" fontId="0" fillId="0" borderId="14" xfId="0" applyBorder="1"/>
    <xf numFmtId="3" fontId="0" fillId="0" borderId="14" xfId="0" applyNumberFormat="1" applyBorder="1"/>
    <xf numFmtId="3" fontId="12" fillId="0" borderId="14" xfId="0" applyNumberFormat="1" applyFont="1" applyBorder="1"/>
    <xf numFmtId="3" fontId="12" fillId="8" borderId="14" xfId="0" applyNumberFormat="1" applyFont="1" applyFill="1" applyBorder="1"/>
    <xf numFmtId="3" fontId="12" fillId="2" borderId="14" xfId="0" applyNumberFormat="1" applyFont="1" applyFill="1" applyBorder="1"/>
    <xf numFmtId="10" fontId="11" fillId="0" borderId="14" xfId="0" applyNumberFormat="1" applyFont="1" applyBorder="1" applyAlignment="1">
      <alignment horizontal="center" vertical="center"/>
    </xf>
    <xf numFmtId="3" fontId="12" fillId="0" borderId="18" xfId="0" applyNumberFormat="1" applyFont="1" applyBorder="1"/>
    <xf numFmtId="10" fontId="8" fillId="0" borderId="14" xfId="0" applyNumberFormat="1" applyFont="1" applyBorder="1" applyAlignment="1">
      <alignment horizontal="center" vertical="center"/>
    </xf>
    <xf numFmtId="3" fontId="12" fillId="0" borderId="14" xfId="0" applyNumberFormat="1" applyFont="1" applyFill="1" applyBorder="1" applyAlignment="1">
      <alignment horizontal="right" vertical="center" wrapText="1"/>
    </xf>
    <xf numFmtId="0" fontId="10" fillId="0" borderId="0" xfId="1" applyFont="1"/>
    <xf numFmtId="166" fontId="10" fillId="0" borderId="0" xfId="1" applyNumberFormat="1" applyFont="1" applyBorder="1"/>
    <xf numFmtId="0" fontId="5" fillId="3" borderId="7" xfId="0" applyFont="1" applyFill="1" applyBorder="1" applyAlignment="1">
      <alignment horizontal="center" vertical="center"/>
    </xf>
    <xf numFmtId="38" fontId="5" fillId="3" borderId="7" xfId="0" applyNumberFormat="1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 wrapText="1"/>
    </xf>
    <xf numFmtId="3" fontId="9" fillId="3" borderId="7" xfId="0" applyNumberFormat="1" applyFont="1" applyFill="1" applyBorder="1" applyAlignment="1">
      <alignment horizontal="center" vertical="center" wrapText="1"/>
    </xf>
    <xf numFmtId="3" fontId="14" fillId="3" borderId="11" xfId="0" applyNumberFormat="1" applyFont="1" applyFill="1" applyBorder="1" applyAlignment="1">
      <alignment vertical="center" wrapText="1"/>
    </xf>
    <xf numFmtId="38" fontId="14" fillId="3" borderId="11" xfId="0" applyNumberFormat="1" applyFont="1" applyFill="1" applyBorder="1" applyAlignment="1">
      <alignment vertical="center" wrapText="1"/>
    </xf>
    <xf numFmtId="10" fontId="15" fillId="3" borderId="14" xfId="0" applyNumberFormat="1" applyFont="1" applyFill="1" applyBorder="1" applyAlignment="1">
      <alignment horizontal="center" vertical="center"/>
    </xf>
    <xf numFmtId="3" fontId="8" fillId="3" borderId="14" xfId="0" applyNumberFormat="1" applyFont="1" applyFill="1" applyBorder="1" applyAlignment="1">
      <alignment vertical="center" wrapText="1"/>
    </xf>
    <xf numFmtId="10" fontId="11" fillId="3" borderId="14" xfId="0" applyNumberFormat="1" applyFont="1" applyFill="1" applyBorder="1" applyAlignment="1">
      <alignment horizontal="center" vertical="center"/>
    </xf>
    <xf numFmtId="3" fontId="9" fillId="3" borderId="14" xfId="0" applyNumberFormat="1" applyFont="1" applyFill="1" applyBorder="1" applyAlignment="1">
      <alignment horizontal="center" vertical="center" wrapText="1"/>
    </xf>
    <xf numFmtId="3" fontId="14" fillId="3" borderId="14" xfId="0" applyNumberFormat="1" applyFont="1" applyFill="1" applyBorder="1" applyAlignment="1">
      <alignment horizontal="right" vertical="center" wrapText="1"/>
    </xf>
    <xf numFmtId="38" fontId="14" fillId="3" borderId="14" xfId="0" applyNumberFormat="1" applyFont="1" applyFill="1" applyBorder="1" applyAlignment="1">
      <alignment horizontal="right" vertical="center" wrapText="1"/>
    </xf>
    <xf numFmtId="3" fontId="10" fillId="3" borderId="14" xfId="0" applyNumberFormat="1" applyFont="1" applyFill="1" applyBorder="1" applyAlignment="1">
      <alignment horizontal="right" vertical="center" wrapText="1"/>
    </xf>
    <xf numFmtId="0" fontId="6" fillId="3" borderId="17" xfId="0" applyFont="1" applyFill="1" applyBorder="1" applyAlignment="1">
      <alignment horizontal="center" vertical="center" wrapText="1"/>
    </xf>
    <xf numFmtId="0" fontId="6" fillId="3" borderId="18" xfId="0" applyFont="1" applyFill="1" applyBorder="1" applyAlignment="1">
      <alignment horizontal="center" vertical="center" wrapText="1"/>
    </xf>
    <xf numFmtId="0" fontId="13" fillId="3" borderId="8" xfId="0" applyFont="1" applyFill="1" applyBorder="1" applyAlignment="1">
      <alignment horizontal="left" vertical="center" wrapText="1"/>
    </xf>
    <xf numFmtId="0" fontId="23" fillId="2" borderId="0" xfId="0" applyFont="1" applyFill="1" applyBorder="1" applyAlignment="1">
      <alignment horizontal="center" vertical="center"/>
    </xf>
    <xf numFmtId="0" fontId="23" fillId="2" borderId="0" xfId="0" applyFont="1" applyFill="1" applyBorder="1" applyAlignment="1">
      <alignment horizontal="center" vertical="center" wrapText="1"/>
    </xf>
    <xf numFmtId="0" fontId="24" fillId="2" borderId="0" xfId="0" applyFont="1" applyFill="1" applyBorder="1"/>
    <xf numFmtId="10" fontId="0" fillId="2" borderId="0" xfId="0" applyNumberFormat="1" applyFill="1"/>
    <xf numFmtId="0" fontId="22" fillId="0" borderId="0" xfId="0" applyFont="1"/>
    <xf numFmtId="0" fontId="22" fillId="0" borderId="0" xfId="0" applyFont="1" applyFill="1"/>
    <xf numFmtId="0" fontId="24" fillId="0" borderId="0" xfId="0" applyFont="1" applyAlignment="1">
      <alignment horizontal="left"/>
    </xf>
    <xf numFmtId="0" fontId="22" fillId="0" borderId="0" xfId="0" applyFont="1" applyAlignment="1">
      <alignment horizontal="center"/>
    </xf>
    <xf numFmtId="10" fontId="0" fillId="0" borderId="0" xfId="0" applyNumberFormat="1"/>
    <xf numFmtId="10" fontId="0" fillId="0" borderId="0" xfId="0" applyNumberFormat="1" applyAlignment="1">
      <alignment vertical="center"/>
    </xf>
    <xf numFmtId="0" fontId="3" fillId="5" borderId="7" xfId="0" applyFont="1" applyFill="1" applyBorder="1" applyAlignment="1">
      <alignment horizontal="center" vertical="center" wrapText="1"/>
    </xf>
    <xf numFmtId="0" fontId="3" fillId="6" borderId="7" xfId="0" applyFont="1" applyFill="1" applyBorder="1" applyAlignment="1">
      <alignment horizontal="center" vertical="center"/>
    </xf>
    <xf numFmtId="0" fontId="22" fillId="0" borderId="7" xfId="0" applyFont="1" applyBorder="1" applyAlignment="1">
      <alignment horizontal="center" vertical="center" wrapText="1"/>
    </xf>
    <xf numFmtId="0" fontId="22" fillId="0" borderId="7" xfId="0" applyFont="1" applyBorder="1" applyAlignment="1">
      <alignment horizontal="center" vertical="center"/>
    </xf>
    <xf numFmtId="167" fontId="8" fillId="2" borderId="7" xfId="0" applyNumberFormat="1" applyFont="1" applyFill="1" applyBorder="1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7" xfId="0" applyBorder="1"/>
    <xf numFmtId="0" fontId="22" fillId="0" borderId="7" xfId="0" applyFont="1" applyBorder="1"/>
    <xf numFmtId="0" fontId="22" fillId="0" borderId="7" xfId="0" applyFont="1" applyBorder="1" applyAlignment="1">
      <alignment vertical="center" wrapText="1"/>
    </xf>
    <xf numFmtId="0" fontId="22" fillId="0" borderId="7" xfId="0" applyFont="1" applyBorder="1" applyAlignment="1">
      <alignment vertical="center"/>
    </xf>
    <xf numFmtId="0" fontId="22" fillId="0" borderId="14" xfId="0" applyFont="1" applyBorder="1" applyAlignment="1">
      <alignment horizontal="center"/>
    </xf>
    <xf numFmtId="167" fontId="0" fillId="0" borderId="0" xfId="0" applyNumberFormat="1"/>
    <xf numFmtId="167" fontId="24" fillId="2" borderId="14" xfId="0" applyNumberFormat="1" applyFont="1" applyFill="1" applyBorder="1" applyAlignment="1">
      <alignment horizontal="right" vertical="center"/>
    </xf>
    <xf numFmtId="10" fontId="0" fillId="0" borderId="7" xfId="0" applyNumberFormat="1" applyBorder="1" applyAlignment="1">
      <alignment horizontal="center"/>
    </xf>
    <xf numFmtId="10" fontId="0" fillId="0" borderId="14" xfId="0" applyNumberFormat="1" applyBorder="1" applyAlignment="1">
      <alignment horizontal="center"/>
    </xf>
    <xf numFmtId="0" fontId="18" fillId="3" borderId="16" xfId="0" applyFont="1" applyFill="1" applyBorder="1" applyAlignment="1">
      <alignment horizontal="center" vertical="center" wrapText="1"/>
    </xf>
    <xf numFmtId="0" fontId="18" fillId="3" borderId="17" xfId="0" applyFont="1" applyFill="1" applyBorder="1" applyAlignment="1">
      <alignment horizontal="center" vertical="center" wrapText="1"/>
    </xf>
    <xf numFmtId="0" fontId="18" fillId="3" borderId="18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0" fillId="0" borderId="16" xfId="0" applyBorder="1" applyAlignment="1">
      <alignment horizontal="center"/>
    </xf>
    <xf numFmtId="0" fontId="0" fillId="0" borderId="18" xfId="0" applyBorder="1" applyAlignment="1">
      <alignment horizontal="center"/>
    </xf>
    <xf numFmtId="0" fontId="15" fillId="3" borderId="5" xfId="0" applyFont="1" applyFill="1" applyBorder="1" applyAlignment="1">
      <alignment horizontal="center" vertical="center" wrapText="1"/>
    </xf>
    <xf numFmtId="0" fontId="15" fillId="3" borderId="17" xfId="0" applyFont="1" applyFill="1" applyBorder="1" applyAlignment="1">
      <alignment horizontal="center" vertical="center" wrapText="1"/>
    </xf>
    <xf numFmtId="0" fontId="15" fillId="3" borderId="18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textRotation="255"/>
    </xf>
    <xf numFmtId="0" fontId="8" fillId="0" borderId="7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left" vertical="center" wrapText="1"/>
    </xf>
    <xf numFmtId="0" fontId="8" fillId="0" borderId="12" xfId="0" applyFont="1" applyFill="1" applyBorder="1" applyAlignment="1">
      <alignment horizontal="left" vertical="center" wrapText="1"/>
    </xf>
    <xf numFmtId="0" fontId="8" fillId="0" borderId="13" xfId="0" applyFont="1" applyFill="1" applyBorder="1" applyAlignment="1">
      <alignment horizontal="left" vertical="center" wrapText="1"/>
    </xf>
    <xf numFmtId="0" fontId="0" fillId="0" borderId="11" xfId="0" applyBorder="1" applyAlignment="1">
      <alignment horizontal="center" vertical="center" textRotation="255" wrapText="1"/>
    </xf>
    <xf numFmtId="0" fontId="0" fillId="0" borderId="12" xfId="0" applyBorder="1" applyAlignment="1">
      <alignment horizontal="center" vertical="center" textRotation="255" wrapText="1"/>
    </xf>
    <xf numFmtId="0" fontId="16" fillId="3" borderId="16" xfId="0" applyFont="1" applyFill="1" applyBorder="1" applyAlignment="1">
      <alignment horizontal="center" vertical="center" wrapText="1"/>
    </xf>
    <xf numFmtId="0" fontId="16" fillId="3" borderId="17" xfId="0" applyFont="1" applyFill="1" applyBorder="1" applyAlignment="1">
      <alignment horizontal="center" vertical="center" wrapText="1"/>
    </xf>
    <xf numFmtId="0" fontId="16" fillId="3" borderId="18" xfId="0" applyFont="1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textRotation="255"/>
    </xf>
    <xf numFmtId="0" fontId="0" fillId="2" borderId="12" xfId="0" applyFill="1" applyBorder="1" applyAlignment="1">
      <alignment horizontal="center" vertical="center" textRotation="255"/>
    </xf>
    <xf numFmtId="0" fontId="0" fillId="2" borderId="13" xfId="0" applyFill="1" applyBorder="1" applyAlignment="1">
      <alignment horizontal="center" vertical="center" textRotation="255"/>
    </xf>
    <xf numFmtId="0" fontId="8" fillId="0" borderId="15" xfId="0" applyFont="1" applyFill="1" applyBorder="1" applyAlignment="1">
      <alignment horizontal="left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0" fillId="6" borderId="8" xfId="0" applyFill="1" applyBorder="1" applyAlignment="1">
      <alignment horizontal="center" vertical="center" wrapText="1"/>
    </xf>
    <xf numFmtId="0" fontId="0" fillId="6" borderId="9" xfId="0" applyFill="1" applyBorder="1" applyAlignment="1">
      <alignment horizontal="center" vertical="center" wrapText="1"/>
    </xf>
    <xf numFmtId="0" fontId="0" fillId="6" borderId="10" xfId="0" applyFill="1" applyBorder="1" applyAlignment="1">
      <alignment horizontal="center" vertical="center" wrapText="1"/>
    </xf>
    <xf numFmtId="0" fontId="13" fillId="3" borderId="14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left" vertical="center" wrapText="1"/>
    </xf>
    <xf numFmtId="0" fontId="0" fillId="0" borderId="12" xfId="0" applyFont="1" applyBorder="1" applyAlignment="1">
      <alignment horizontal="left" vertical="center" wrapText="1"/>
    </xf>
    <xf numFmtId="0" fontId="0" fillId="0" borderId="13" xfId="0" applyFont="1" applyBorder="1" applyAlignment="1">
      <alignment horizontal="left" vertical="center" wrapText="1"/>
    </xf>
    <xf numFmtId="0" fontId="13" fillId="3" borderId="7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left" vertical="center" wrapText="1"/>
    </xf>
    <xf numFmtId="0" fontId="0" fillId="0" borderId="11" xfId="0" applyBorder="1" applyAlignment="1">
      <alignment horizontal="center" vertical="center" textRotation="255"/>
    </xf>
    <xf numFmtId="0" fontId="4" fillId="0" borderId="3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3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0" fillId="5" borderId="8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 vertical="center"/>
    </xf>
    <xf numFmtId="3" fontId="4" fillId="0" borderId="1" xfId="0" applyNumberFormat="1" applyFont="1" applyBorder="1" applyAlignment="1">
      <alignment horizontal="center"/>
    </xf>
    <xf numFmtId="3" fontId="4" fillId="0" borderId="4" xfId="0" applyNumberFormat="1" applyFont="1" applyBorder="1" applyAlignment="1">
      <alignment horizontal="center"/>
    </xf>
    <xf numFmtId="0" fontId="13" fillId="3" borderId="8" xfId="0" applyFont="1" applyFill="1" applyBorder="1" applyAlignment="1">
      <alignment horizontal="left" vertical="center" wrapText="1"/>
    </xf>
    <xf numFmtId="0" fontId="13" fillId="3" borderId="9" xfId="0" applyFont="1" applyFill="1" applyBorder="1" applyAlignment="1">
      <alignment horizontal="left" vertical="center" wrapText="1"/>
    </xf>
    <xf numFmtId="0" fontId="13" fillId="3" borderId="10" xfId="0" applyFont="1" applyFill="1" applyBorder="1" applyAlignment="1">
      <alignment horizontal="left" vertical="center" wrapText="1"/>
    </xf>
    <xf numFmtId="0" fontId="2" fillId="5" borderId="8" xfId="0" applyFont="1" applyFill="1" applyBorder="1" applyAlignment="1">
      <alignment horizontal="center" vertical="center" wrapText="1"/>
    </xf>
    <xf numFmtId="0" fontId="2" fillId="5" borderId="10" xfId="0" applyFont="1" applyFill="1" applyBorder="1" applyAlignment="1">
      <alignment horizontal="center" vertical="center" wrapText="1"/>
    </xf>
    <xf numFmtId="0" fontId="2" fillId="6" borderId="8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25" fillId="0" borderId="0" xfId="0" applyFont="1" applyBorder="1" applyAlignment="1">
      <alignment horizontal="center"/>
    </xf>
    <xf numFmtId="0" fontId="25" fillId="0" borderId="0" xfId="0" applyFont="1" applyBorder="1" applyAlignment="1">
      <alignment horizontal="center" vertical="center"/>
    </xf>
    <xf numFmtId="0" fontId="2" fillId="5" borderId="9" xfId="0" applyFont="1" applyFill="1" applyBorder="1" applyAlignment="1">
      <alignment horizontal="center" vertical="center" wrapText="1"/>
    </xf>
  </cellXfs>
  <cellStyles count="3">
    <cellStyle name="Normal" xfId="0" builtinId="0"/>
    <cellStyle name="Normal 2 2" xfId="1"/>
    <cellStyle name="Normal 6" xfId="2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10" Type="http://schemas.openxmlformats.org/officeDocument/2006/relationships/externalLink" Target="externalLinks/externalLink8.xml"/><Relationship Id="rId19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400" b="1" i="0" baseline="0">
                <a:effectLst/>
              </a:rPr>
              <a:t>EJECUCIÓN PLAN DE ACCIÓN  POR SUBSISTEMA A 31 DE DICIEMBRE DE 2021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24080183479889872"/>
          <c:y val="2.4922118380062305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8.6021200911859711E-4"/>
          <c:y val="0.22483773640444477"/>
          <c:w val="0.98746438746438747"/>
          <c:h val="0.6971197291927294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'P. ACCIÓN  CONSOLIDADO 21'!$EE$6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0471238942022199E-2"/>
                  <c:y val="-1.87037454055518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3C6B-4DD4-BE25-CEF0D16B9623}"/>
                </c:ext>
              </c:extLst>
            </c:dLbl>
            <c:dLbl>
              <c:idx val="1"/>
              <c:layout>
                <c:manualLayout>
                  <c:x val="1.8615474112856311E-2"/>
                  <c:y val="-9.009009009009008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3C6B-4DD4-BE25-CEF0D16B9623}"/>
                </c:ext>
              </c:extLst>
            </c:dLbl>
            <c:dLbl>
              <c:idx val="2"/>
              <c:layout>
                <c:manualLayout>
                  <c:x val="2.6953748006379584E-2"/>
                  <c:y val="-2.70270202935596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3C6B-4DD4-BE25-CEF0D16B9623}"/>
                </c:ext>
              </c:extLst>
            </c:dLbl>
            <c:dLbl>
              <c:idx val="3"/>
              <c:layout>
                <c:manualLayout>
                  <c:x val="2.0942408376963179E-2"/>
                  <c:y val="-1.50150150150151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3C6B-4DD4-BE25-CEF0D16B9623}"/>
                </c:ext>
              </c:extLst>
            </c:dLbl>
            <c:dLbl>
              <c:idx val="4"/>
              <c:layout>
                <c:manualLayout>
                  <c:x val="1.7088174982911826E-2"/>
                  <c:y val="-2.06989076531546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3C6B-4DD4-BE25-CEF0D16B9623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'P. ACCIÓN  CONSOLIDADO 21'!$ED$7:$ED$130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 CONSOLIDADO 21'!$EE$7:$EE$130</c:f>
              <c:numCache>
                <c:formatCode>#,##0</c:formatCode>
                <c:ptCount val="5"/>
                <c:pt idx="0">
                  <c:v>2672814183</c:v>
                </c:pt>
                <c:pt idx="1">
                  <c:v>9209707080</c:v>
                </c:pt>
                <c:pt idx="2">
                  <c:v>4269690683</c:v>
                </c:pt>
                <c:pt idx="3">
                  <c:v>4618928674</c:v>
                </c:pt>
                <c:pt idx="4">
                  <c:v>26514474251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3C6B-4DD4-BE25-CEF0D16B9623}"/>
            </c:ext>
          </c:extLst>
        </c:ser>
        <c:ser>
          <c:idx val="1"/>
          <c:order val="1"/>
          <c:tx>
            <c:strRef>
              <c:f>'P. ACCIÓN  CONSOLIDADO 21'!$EF$6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4.3241355045818407E-2"/>
                  <c:y val="-2.77454411751609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02F1-4D83-B2F5-4FCAEDA70F38}"/>
                </c:ext>
              </c:extLst>
            </c:dLbl>
            <c:dLbl>
              <c:idx val="1"/>
              <c:layout>
                <c:manualLayout>
                  <c:x val="4.2684467073194801E-2"/>
                  <c:y val="-1.21731461308200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02F1-4D83-B2F5-4FCAEDA70F38}"/>
                </c:ext>
              </c:extLst>
            </c:dLbl>
            <c:dLbl>
              <c:idx val="2"/>
              <c:layout>
                <c:manualLayout>
                  <c:x val="4.0697174362806232E-2"/>
                  <c:y val="3.028996072534074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02F1-4D83-B2F5-4FCAEDA70F38}"/>
                </c:ext>
              </c:extLst>
            </c:dLbl>
            <c:dLbl>
              <c:idx val="3"/>
              <c:layout>
                <c:manualLayout>
                  <c:x val="4.7451746756556494E-2"/>
                  <c:y val="-6.006083946244480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02F1-4D83-B2F5-4FCAEDA70F38}"/>
                </c:ext>
              </c:extLst>
            </c:dLbl>
            <c:dLbl>
              <c:idx val="4"/>
              <c:layout>
                <c:manualLayout>
                  <c:x val="5.2251130270471992E-2"/>
                  <c:y val="-9.492075729990851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02F1-4D83-B2F5-4FCAEDA70F3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'P. ACCIÓN  CONSOLIDADO 21'!$ED$7:$ED$130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 CONSOLIDADO 21'!$EF$7:$EF$130</c:f>
              <c:numCache>
                <c:formatCode>#,##0</c:formatCode>
                <c:ptCount val="5"/>
                <c:pt idx="0">
                  <c:v>1497246446</c:v>
                </c:pt>
                <c:pt idx="1">
                  <c:v>5441855994</c:v>
                </c:pt>
                <c:pt idx="2">
                  <c:v>3514847949</c:v>
                </c:pt>
                <c:pt idx="3">
                  <c:v>2157894670</c:v>
                </c:pt>
                <c:pt idx="4">
                  <c:v>13599953717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2-3C6B-4DD4-BE25-CEF0D16B9623}"/>
            </c:ext>
          </c:extLst>
        </c:ser>
        <c:ser>
          <c:idx val="2"/>
          <c:order val="2"/>
          <c:tx>
            <c:strRef>
              <c:f>'P. ACCIÓN  CONSOLIDADO 21'!$EG$6</c:f>
              <c:strCache>
                <c:ptCount val="1"/>
                <c:pt idx="0">
                  <c:v>% 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769455851511384E-2"/>
                  <c:y val="1.20119134405339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02F1-4D83-B2F5-4FCAEDA70F38}"/>
                </c:ext>
              </c:extLst>
            </c:dLbl>
            <c:dLbl>
              <c:idx val="1"/>
              <c:layout>
                <c:manualLayout>
                  <c:x val="2.4612300044180382E-2"/>
                  <c:y val="-6.16715203377086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02F1-4D83-B2F5-4FCAEDA70F38}"/>
                </c:ext>
              </c:extLst>
            </c:dLbl>
            <c:dLbl>
              <c:idx val="2"/>
              <c:layout>
                <c:manualLayout>
                  <c:x val="2.376767860096813E-2"/>
                  <c:y val="-6.9668945283923856E-4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>
                    <c:manualLayout>
                      <c:w val="2.2018569668320255E-2"/>
                      <c:h val="3.965477288311933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02F1-4D83-B2F5-4FCAEDA70F38}"/>
                </c:ext>
              </c:extLst>
            </c:dLbl>
            <c:dLbl>
              <c:idx val="3"/>
              <c:layout>
                <c:manualLayout>
                  <c:x val="2.805796207156694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02F1-4D83-B2F5-4FCAEDA70F38}"/>
                </c:ext>
              </c:extLst>
            </c:dLbl>
            <c:dLbl>
              <c:idx val="4"/>
              <c:layout>
                <c:manualLayout>
                  <c:x val="2.4432809773123908E-2"/>
                  <c:y val="-9.0090090090091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02F1-4D83-B2F5-4FCAEDA70F3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'P. ACCIÓN  CONSOLIDADO 21'!$ED$7:$ED$130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 CONSOLIDADO 21'!$EG$7:$EG$130</c:f>
              <c:numCache>
                <c:formatCode>0.00%</c:formatCode>
                <c:ptCount val="5"/>
                <c:pt idx="0">
                  <c:v>0.56017603300782848</c:v>
                </c:pt>
                <c:pt idx="1">
                  <c:v>0.59088263575913857</c:v>
                </c:pt>
                <c:pt idx="2">
                  <c:v>0.82320903549162328</c:v>
                </c:pt>
                <c:pt idx="3">
                  <c:v>0.46718510336537838</c:v>
                </c:pt>
                <c:pt idx="4">
                  <c:v>0.51292564160449361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3-3C6B-4DD4-BE25-CEF0D16B96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20249728"/>
        <c:axId val="123217024"/>
        <c:axId val="0"/>
      </c:bar3DChart>
      <c:catAx>
        <c:axId val="12024972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123217024"/>
        <c:crosses val="autoZero"/>
        <c:auto val="1"/>
        <c:lblAlgn val="ctr"/>
        <c:lblOffset val="100"/>
        <c:noMultiLvlLbl val="0"/>
      </c:catAx>
      <c:valAx>
        <c:axId val="123217024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120249728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s-CO" sz="1400" b="1" i="0" baseline="0">
                <a:effectLst/>
              </a:rPr>
              <a:t>EJECUCIÓN PLAN DE ACCIÓN POR PROYECTOS A 31 DE DICIEMBRE 2021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19043915242302029"/>
          <c:y val="3.3902218590600705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1.8773114383334105E-2"/>
          <c:y val="0.15401035595626075"/>
          <c:w val="0.94831591985620411"/>
          <c:h val="0.7521913235165845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'P. ACCIÓN  CONSOLIDADO 21'!$EE$134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36817653890824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EA3B-4B4A-A24C-804762023628}"/>
                </c:ext>
              </c:extLst>
            </c:dLbl>
            <c:dLbl>
              <c:idx val="1"/>
              <c:layout>
                <c:manualLayout>
                  <c:x val="3.1992805542834353E-2"/>
                  <c:y val="-4.72647287013651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EA3B-4B4A-A24C-804762023628}"/>
                </c:ext>
              </c:extLst>
            </c:dLbl>
            <c:dLbl>
              <c:idx val="2"/>
              <c:layout>
                <c:manualLayout>
                  <c:x val="4.1977023040975413E-2"/>
                  <c:y val="3.2381270737384242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/>
                </c:ext>
                <c:ext xmlns:c16="http://schemas.microsoft.com/office/drawing/2014/chart" uri="{C3380CC4-5D6E-409C-BE32-E72D297353CC}">
                  <c16:uniqueId val="{00000002-EA3B-4B4A-A24C-804762023628}"/>
                </c:ext>
              </c:extLst>
            </c:dLbl>
            <c:dLbl>
              <c:idx val="3"/>
              <c:layout>
                <c:manualLayout>
                  <c:x val="5.3248093050282984E-3"/>
                  <c:y val="3.0868782911579624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EA3B-4B4A-A24C-804762023628}"/>
                </c:ext>
              </c:extLst>
            </c:dLbl>
            <c:dLbl>
              <c:idx val="4"/>
              <c:layout>
                <c:manualLayout>
                  <c:x val="2.4088913664552906E-2"/>
                  <c:y val="-1.25881168177240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EA3B-4B4A-A24C-804762023628}"/>
                </c:ext>
              </c:extLst>
            </c:dLbl>
            <c:dLbl>
              <c:idx val="5"/>
              <c:layout>
                <c:manualLayout>
                  <c:x val="2.2303858035444685E-2"/>
                  <c:y val="-1.51057401812688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EA3B-4B4A-A24C-804762023628}"/>
                </c:ext>
              </c:extLst>
            </c:dLbl>
            <c:dLbl>
              <c:idx val="6"/>
              <c:layout>
                <c:manualLayout>
                  <c:x val="2.328404524655657E-2"/>
                  <c:y val="-1.25881168177241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EA3B-4B4A-A24C-80476202362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'P. ACCIÓN  CONSOLIDADO 21'!$ED$135:$ED$141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 CONSOLIDADO 21'!$EE$135:$EE$141</c:f>
              <c:numCache>
                <c:formatCode>#,##0</c:formatCode>
                <c:ptCount val="7"/>
                <c:pt idx="0">
                  <c:v>14944040739</c:v>
                </c:pt>
                <c:pt idx="1">
                  <c:v>10487526512</c:v>
                </c:pt>
                <c:pt idx="2">
                  <c:v>4618928674</c:v>
                </c:pt>
                <c:pt idx="3">
                  <c:v>1420900967</c:v>
                </c:pt>
                <c:pt idx="4">
                  <c:v>9209707080</c:v>
                </c:pt>
                <c:pt idx="5">
                  <c:v>2334820216</c:v>
                </c:pt>
                <c:pt idx="6">
                  <c:v>4269690683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EA3B-4B4A-A24C-804762023628}"/>
            </c:ext>
          </c:extLst>
        </c:ser>
        <c:ser>
          <c:idx val="1"/>
          <c:order val="1"/>
          <c:tx>
            <c:strRef>
              <c:f>'P. ACCIÓN  CONSOLIDADO 21'!$EF$134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7166085946573751E-2"/>
                  <c:y val="-5.035246727089719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EA3B-4B4A-A24C-804762023628}"/>
                </c:ext>
              </c:extLst>
            </c:dLbl>
            <c:dLbl>
              <c:idx val="1"/>
              <c:layout>
                <c:manualLayout>
                  <c:x val="3.5143753048568045E-2"/>
                  <c:y val="-1.76233635448136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EA3B-4B4A-A24C-804762023628}"/>
                </c:ext>
              </c:extLst>
            </c:dLbl>
            <c:dLbl>
              <c:idx val="2"/>
              <c:layout>
                <c:manualLayout>
                  <c:x val="4.754497151270725E-2"/>
                  <c:y val="-1.00705277406360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EA3B-4B4A-A24C-804762023628}"/>
                </c:ext>
              </c:extLst>
            </c:dLbl>
            <c:dLbl>
              <c:idx val="3"/>
              <c:layout>
                <c:manualLayout>
                  <c:x val="3.6447291774903461E-2"/>
                  <c:y val="5.549571633734462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EA3B-4B4A-A24C-804762023628}"/>
                </c:ext>
              </c:extLst>
            </c:dLbl>
            <c:dLbl>
              <c:idx val="4"/>
              <c:layout>
                <c:manualLayout>
                  <c:x val="5.0276870878945008E-2"/>
                  <c:y val="5.961636870862840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EA3B-4B4A-A24C-804762023628}"/>
                </c:ext>
              </c:extLst>
            </c:dLbl>
            <c:dLbl>
              <c:idx val="5"/>
              <c:layout>
                <c:manualLayout>
                  <c:x val="4.5023095143125871E-2"/>
                  <c:y val="3.08687829115700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EA3B-4B4A-A24C-804762023628}"/>
                </c:ext>
              </c:extLst>
            </c:dLbl>
            <c:dLbl>
              <c:idx val="6"/>
              <c:layout>
                <c:manualLayout>
                  <c:x val="5.1593023198554328E-2"/>
                  <c:y val="-2.414615625876954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EA3B-4B4A-A24C-80476202362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'P. ACCIÓN  CONSOLIDADO 21'!$ED$135:$ED$141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 CONSOLIDADO 21'!$EF$135:$EF$141</c:f>
              <c:numCache>
                <c:formatCode>#,##0</c:formatCode>
                <c:ptCount val="7"/>
                <c:pt idx="0">
                  <c:v>8374334138</c:v>
                </c:pt>
                <c:pt idx="1">
                  <c:v>4298098469</c:v>
                </c:pt>
                <c:pt idx="2">
                  <c:v>2157894670</c:v>
                </c:pt>
                <c:pt idx="3">
                  <c:v>904719898</c:v>
                </c:pt>
                <c:pt idx="4">
                  <c:v>5441855994</c:v>
                </c:pt>
                <c:pt idx="5">
                  <c:v>1520047658</c:v>
                </c:pt>
                <c:pt idx="6">
                  <c:v>3514847949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F-EA3B-4B4A-A24C-804762023628}"/>
            </c:ext>
          </c:extLst>
        </c:ser>
        <c:ser>
          <c:idx val="2"/>
          <c:order val="2"/>
          <c:tx>
            <c:strRef>
              <c:f>'P. ACCIÓN  CONSOLIDADO 21'!$EG$134</c:f>
              <c:strCache>
                <c:ptCount val="1"/>
                <c:pt idx="0">
                  <c:v>% 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2111999133316591E-2"/>
                  <c:y val="3.08687829115700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0-EA3B-4B4A-A24C-804762023628}"/>
                </c:ext>
              </c:extLst>
            </c:dLbl>
            <c:dLbl>
              <c:idx val="1"/>
              <c:layout>
                <c:manualLayout>
                  <c:x val="2.7490606826116717E-2"/>
                  <c:y val="-4.5205434226382075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>
                    <c:manualLayout>
                      <c:w val="3.8258744014825624E-2"/>
                      <c:h val="2.8210068907549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1-EA3B-4B4A-A24C-804762023628}"/>
                </c:ext>
              </c:extLst>
            </c:dLbl>
            <c:dLbl>
              <c:idx val="2"/>
              <c:layout>
                <c:manualLayout>
                  <c:x val="2.3859769639489249E-2"/>
                  <c:y val="-2.517580349626108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2-EA3B-4B4A-A24C-804762023628}"/>
                </c:ext>
              </c:extLst>
            </c:dLbl>
            <c:dLbl>
              <c:idx val="3"/>
              <c:layout>
                <c:manualLayout>
                  <c:x val="2.228090391140132E-2"/>
                  <c:y val="1.25881080902623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3-EA3B-4B4A-A24C-804762023628}"/>
                </c:ext>
              </c:extLst>
            </c:dLbl>
            <c:dLbl>
              <c:idx val="4"/>
              <c:layout>
                <c:manualLayout>
                  <c:x val="2.1874125490411258E-2"/>
                  <c:y val="3.7764350453172208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>
                    <c:manualLayout>
                      <c:w val="4.172469294996662E-2"/>
                      <c:h val="6.093917263363227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4-EA3B-4B4A-A24C-804762023628}"/>
                </c:ext>
              </c:extLst>
            </c:dLbl>
            <c:dLbl>
              <c:idx val="5"/>
              <c:layout>
                <c:manualLayout>
                  <c:x val="2.642030205886553E-2"/>
                  <c:y val="-4.72647287013651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5-EA3B-4B4A-A24C-804762023628}"/>
                </c:ext>
              </c:extLst>
            </c:dLbl>
            <c:dLbl>
              <c:idx val="6"/>
              <c:layout>
                <c:manualLayout>
                  <c:x val="2.9492350041610653E-2"/>
                  <c:y val="-2.414615625876954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6-EA3B-4B4A-A24C-80476202362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'P. ACCIÓN  CONSOLIDADO 21'!$ED$135:$ED$141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 CONSOLIDADO 21'!$EG$135:$EG$141</c:f>
              <c:numCache>
                <c:formatCode>0.00%</c:formatCode>
                <c:ptCount val="7"/>
                <c:pt idx="0">
                  <c:v>0.5603795040617896</c:v>
                </c:pt>
                <c:pt idx="1">
                  <c:v>0.40982956887708893</c:v>
                </c:pt>
                <c:pt idx="2">
                  <c:v>0.46718510336537838</c:v>
                </c:pt>
                <c:pt idx="3">
                  <c:v>0.63672269849331453</c:v>
                </c:pt>
                <c:pt idx="4">
                  <c:v>0.59088263575913857</c:v>
                </c:pt>
                <c:pt idx="5">
                  <c:v>0.651034134270148</c:v>
                </c:pt>
                <c:pt idx="6">
                  <c:v>0.82320903549162328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7-EA3B-4B4A-A24C-80476202362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23268096"/>
        <c:axId val="123282176"/>
        <c:axId val="0"/>
      </c:bar3DChart>
      <c:catAx>
        <c:axId val="1232680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123282176"/>
        <c:crosses val="autoZero"/>
        <c:auto val="1"/>
        <c:lblAlgn val="ctr"/>
        <c:lblOffset val="100"/>
        <c:noMultiLvlLbl val="0"/>
      </c:catAx>
      <c:valAx>
        <c:axId val="123282176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123268096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320040</xdr:colOff>
      <xdr:row>144</xdr:row>
      <xdr:rowOff>45720</xdr:rowOff>
    </xdr:from>
    <xdr:to>
      <xdr:col>132</xdr:col>
      <xdr:colOff>15239</xdr:colOff>
      <xdr:row>165</xdr:row>
      <xdr:rowOff>135255</xdr:rowOff>
    </xdr:to>
    <xdr:graphicFrame macro="">
      <xdr:nvGraphicFramePr>
        <xdr:cNvPr id="16" name="1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419101</xdr:colOff>
      <xdr:row>168</xdr:row>
      <xdr:rowOff>99060</xdr:rowOff>
    </xdr:from>
    <xdr:to>
      <xdr:col>108</xdr:col>
      <xdr:colOff>929641</xdr:colOff>
      <xdr:row>195</xdr:row>
      <xdr:rowOff>7620</xdr:rowOff>
    </xdr:to>
    <xdr:graphicFrame macro="">
      <xdr:nvGraphicFramePr>
        <xdr:cNvPr id="17" name="16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1%20A%202021/INFORMACI&#211;N%202021/INFORMES%20EJECUCI&#211;N%20PRESUPUESTAL%202021/EJECUCI&#211;N%20PRESUPUESTAL%20DEL%20PLAN%20DE%20ACCI&#211;N%20A%20DICIEMBRE%202021-31%20ENERO%2022.xlsm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1%20A%202021/INFORMACI&#211;N%202021/INFORMES%20EJECUCI&#211;N%20PRESUPUESTAL%202021/PLAN%20DE%20ACCI&#211;N%20A%2026%20DE%20MARZO%20DE%202021.xlsm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1%20A%202021/INFORMACI&#211;N%202021/INFORMES%20EJECUCI&#211;N%20PRESUPUESTAL%202021/PLAN%20DE%20ACCI&#211;N%20A%2030%20ABRIL%20DE%202021%20&#250;ltimo.xlsm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1%20A%202021/INFORMACI&#211;N%202021/INFORMES%20EJECUCI&#211;N%20PRESUPUESTAL%202021/P.%20DE%20ACCI&#211;N%20A%2028%20FEBRERO%202021.xlsm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ownloads/EJECUCI&#211;N%20PLAN%20DE%20ACCI&#211;N%20A%2030%20DE%20NOVIEMBRE%20DE%2020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1%20A%202021/INFORMACI&#211;N%202021/INFORMES%20EJECUCI&#211;N%20PRESUPUESTAL%202021/PLAN%20DE%20ACCI&#211;N%20JULIO%20DE%202021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1%20A%202021/INFORMACI&#211;N%202021/INFORMES%20EJECUCI&#211;N%20PRESUPUESTAL%202021/PLAN%20DE%20ACCI&#211;N%20A%2030%20%20SEPTIEMBRE%20DE%202021%20&#250;ltimo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1%20A%202021/INFORMACI&#211;N%202021/INFORMES%20EJECUCI&#211;N%20PRESUPUESTAL%202021/PLAN%20DE%20ACCI&#211;N%20A%2030%20%20JUNIO%20DE%202021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1%20A%202021/INFORMACI&#211;N%202021/INFORMES%20EJECUCI&#211;N%20PRESUPUESTAL%202021/INFORME%20EJECUCI&#211;NPLAN%20DE%20ACCI&#211;N%20A%2030%20NOVIEMBRE%202021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1%20A%202021/INFORMACI&#211;N%202021/INFORMES%20EJECUCI&#211;N%20PRESUPUESTAL%202021/P.DE%20ACCI&#211;N%20A%2031%20DE%20MAYO%20DE%202021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1%20A%202021/INFORMACI&#211;N%202021/INFORMES%20EJECUCI&#211;N%20PRESUPUESTAL%202021/PLAN%20DE%20ACCI&#211;N%20A%2031%20AGOSTO%20DE%202021%20&#250;ltimo.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1%20A%202021/INFORMACI&#211;N%202021/INFORMES%20EJECUCI&#211;N%20PRESUPUESTAL%202021/PLAN%20DE%20ACCI&#211;N%20A%2029%20OCTUBRE%20DE%202021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1%20A%202021/INFORMACI&#211;N%202021/INFORMES%20EJECUCI&#211;N%20PRESUPUESTAL%202021/P.%20DE%20ACCI&#211;N%20A%2031%20DE%20ENERO%202021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  <sheetName val="Hoja1"/>
    </sheetNames>
    <sheetDataSet>
      <sheetData sheetId="0">
        <row r="18">
          <cell r="J18">
            <v>29813332</v>
          </cell>
          <cell r="AF18">
            <v>20498352</v>
          </cell>
        </row>
        <row r="62">
          <cell r="J62">
            <v>45686160</v>
          </cell>
          <cell r="AA62">
            <v>16447171</v>
          </cell>
        </row>
        <row r="87">
          <cell r="AA87">
            <v>5000000</v>
          </cell>
          <cell r="AF87">
            <v>30666667</v>
          </cell>
        </row>
        <row r="138">
          <cell r="J138">
            <v>69265745</v>
          </cell>
          <cell r="M138">
            <v>447284183</v>
          </cell>
          <cell r="O138">
            <v>18174807</v>
          </cell>
          <cell r="AA138">
            <v>59286788</v>
          </cell>
        </row>
        <row r="235">
          <cell r="H235">
            <v>8561435</v>
          </cell>
        </row>
        <row r="237">
          <cell r="AA237">
            <v>8561435</v>
          </cell>
        </row>
        <row r="247">
          <cell r="J247">
            <v>89418632</v>
          </cell>
          <cell r="AA247">
            <v>84092890</v>
          </cell>
          <cell r="AF247">
            <v>30803301</v>
          </cell>
        </row>
        <row r="461">
          <cell r="Y461">
            <v>87703330</v>
          </cell>
          <cell r="AA461">
            <v>99968332</v>
          </cell>
          <cell r="AF461">
            <v>99034029</v>
          </cell>
        </row>
        <row r="570">
          <cell r="J570">
            <v>55163242</v>
          </cell>
          <cell r="AF570">
            <v>14544717</v>
          </cell>
        </row>
        <row r="605">
          <cell r="J605">
            <v>6114092</v>
          </cell>
          <cell r="AA605">
            <v>8586667</v>
          </cell>
        </row>
        <row r="630">
          <cell r="Q630">
            <v>789000</v>
          </cell>
          <cell r="S630">
            <v>40346480</v>
          </cell>
          <cell r="T630">
            <v>6403666</v>
          </cell>
          <cell r="U630">
            <v>4432162</v>
          </cell>
          <cell r="V630">
            <v>4432162</v>
          </cell>
        </row>
        <row r="711">
          <cell r="Q711">
            <v>6599999</v>
          </cell>
          <cell r="S711">
            <v>59829317</v>
          </cell>
          <cell r="T711">
            <v>7407365</v>
          </cell>
          <cell r="U711">
            <v>9500000</v>
          </cell>
          <cell r="V711">
            <v>3537364</v>
          </cell>
          <cell r="AF711">
            <v>21247062</v>
          </cell>
        </row>
        <row r="1117">
          <cell r="S1117">
            <v>5405098</v>
          </cell>
        </row>
        <row r="1141">
          <cell r="S1141">
            <v>343207498</v>
          </cell>
          <cell r="T1141">
            <v>9688900</v>
          </cell>
          <cell r="V1141">
            <v>4080000</v>
          </cell>
          <cell r="Y1141">
            <v>12100000</v>
          </cell>
        </row>
        <row r="1534">
          <cell r="S1534">
            <v>249547309</v>
          </cell>
        </row>
        <row r="1704">
          <cell r="S1704">
            <v>173937234</v>
          </cell>
        </row>
        <row r="1807">
          <cell r="S1807">
            <v>17924088</v>
          </cell>
        </row>
        <row r="1854">
          <cell r="S1854">
            <v>183494474</v>
          </cell>
          <cell r="AF1854">
            <v>5886000</v>
          </cell>
        </row>
        <row r="1986">
          <cell r="S1986">
            <v>22752096</v>
          </cell>
          <cell r="Y1986">
            <v>8262940</v>
          </cell>
          <cell r="AF1986">
            <v>16312653</v>
          </cell>
        </row>
        <row r="2104">
          <cell r="J2104">
            <v>12514269</v>
          </cell>
          <cell r="S2104">
            <v>15913944</v>
          </cell>
          <cell r="AF2104">
            <v>20339798</v>
          </cell>
        </row>
        <row r="2168">
          <cell r="S2168">
            <v>21810462</v>
          </cell>
          <cell r="X2168">
            <v>11381500</v>
          </cell>
          <cell r="AF2168">
            <v>16794180</v>
          </cell>
        </row>
        <row r="2208">
          <cell r="S2208">
            <v>222151297</v>
          </cell>
          <cell r="AF2208">
            <v>79229400</v>
          </cell>
        </row>
        <row r="2400">
          <cell r="S2400">
            <v>156612361</v>
          </cell>
          <cell r="U2400">
            <v>7535729</v>
          </cell>
          <cell r="AF2400">
            <v>88783274</v>
          </cell>
        </row>
        <row r="2699">
          <cell r="S2699">
            <v>40699999</v>
          </cell>
        </row>
        <row r="2721">
          <cell r="S2721">
            <v>61315261</v>
          </cell>
          <cell r="AF2721">
            <v>1000000</v>
          </cell>
        </row>
        <row r="2751">
          <cell r="S2751">
            <v>9216667</v>
          </cell>
          <cell r="Y2751">
            <v>9999999</v>
          </cell>
        </row>
        <row r="2760">
          <cell r="S2760">
            <v>146825695</v>
          </cell>
          <cell r="X2760">
            <v>172038411</v>
          </cell>
        </row>
        <row r="2835">
          <cell r="J2835">
            <v>79685908</v>
          </cell>
          <cell r="X2835">
            <v>65836523</v>
          </cell>
          <cell r="AC2835">
            <v>331087169</v>
          </cell>
          <cell r="AF2835">
            <v>14999600</v>
          </cell>
        </row>
        <row r="3069">
          <cell r="J3069">
            <v>29062341</v>
          </cell>
        </row>
        <row r="3090">
          <cell r="S3090">
            <v>3043070</v>
          </cell>
        </row>
        <row r="3104">
          <cell r="J3104">
            <v>2040807</v>
          </cell>
          <cell r="S3104">
            <v>17381366</v>
          </cell>
          <cell r="W3104">
            <v>2066607734</v>
          </cell>
          <cell r="X3104">
            <v>50843110</v>
          </cell>
          <cell r="Y3104">
            <v>15306666</v>
          </cell>
        </row>
        <row r="3962">
          <cell r="J3962">
            <v>89754339</v>
          </cell>
          <cell r="X3962">
            <v>13018560</v>
          </cell>
          <cell r="AF3962">
            <v>27475333</v>
          </cell>
        </row>
        <row r="4006">
          <cell r="S4006">
            <v>23679830</v>
          </cell>
          <cell r="X4006">
            <v>20969400</v>
          </cell>
          <cell r="AF4006">
            <v>67312811</v>
          </cell>
        </row>
        <row r="4064">
          <cell r="J4064">
            <v>110918042</v>
          </cell>
          <cell r="O4064">
            <v>12596000</v>
          </cell>
          <cell r="S4064">
            <v>20540000</v>
          </cell>
          <cell r="X4064">
            <v>18262272</v>
          </cell>
        </row>
        <row r="4237">
          <cell r="J4237">
            <v>12885250</v>
          </cell>
          <cell r="AF4237">
            <v>500000</v>
          </cell>
        </row>
        <row r="4260">
          <cell r="J4260">
            <v>19999997</v>
          </cell>
          <cell r="X4260">
            <v>17034438</v>
          </cell>
        </row>
        <row r="4287">
          <cell r="J4287">
            <v>13999998</v>
          </cell>
        </row>
        <row r="4306">
          <cell r="J4306">
            <v>16370983</v>
          </cell>
          <cell r="AF4306">
            <v>16071564</v>
          </cell>
        </row>
        <row r="4384">
          <cell r="J4384">
            <v>98354787</v>
          </cell>
          <cell r="X4384">
            <v>19123330</v>
          </cell>
          <cell r="Y4384">
            <v>14999999</v>
          </cell>
          <cell r="AF4384">
            <v>21650000</v>
          </cell>
        </row>
        <row r="4451">
          <cell r="J4451">
            <v>49999994</v>
          </cell>
          <cell r="X4451">
            <v>19407971</v>
          </cell>
        </row>
        <row r="4481">
          <cell r="J4481">
            <v>25149440</v>
          </cell>
        </row>
        <row r="4490">
          <cell r="J4490">
            <v>34030584</v>
          </cell>
          <cell r="X4490">
            <v>9995052</v>
          </cell>
        </row>
        <row r="4515">
          <cell r="J4515">
            <v>14041499</v>
          </cell>
        </row>
        <row r="4521">
          <cell r="J4521">
            <v>39875662</v>
          </cell>
          <cell r="X4521">
            <v>4999999</v>
          </cell>
          <cell r="Y4521">
            <v>15746085</v>
          </cell>
        </row>
        <row r="4552">
          <cell r="J4552">
            <v>39382259</v>
          </cell>
        </row>
        <row r="4576">
          <cell r="J4576">
            <v>9250000</v>
          </cell>
          <cell r="Y4576">
            <v>8999466</v>
          </cell>
        </row>
        <row r="4596">
          <cell r="J4596">
            <v>181536622</v>
          </cell>
          <cell r="X4596">
            <v>77248431</v>
          </cell>
          <cell r="AD4596">
            <v>119547293</v>
          </cell>
          <cell r="AF4596">
            <v>654096704</v>
          </cell>
        </row>
        <row r="5399">
          <cell r="AF5399">
            <v>51378336</v>
          </cell>
        </row>
        <row r="5444">
          <cell r="J5444">
            <v>6933983</v>
          </cell>
          <cell r="W5444">
            <v>1185208501</v>
          </cell>
        </row>
        <row r="5659">
          <cell r="J5659">
            <v>89975115</v>
          </cell>
        </row>
        <row r="5703">
          <cell r="J5703">
            <v>59991660</v>
          </cell>
          <cell r="Y5703">
            <v>33125012</v>
          </cell>
        </row>
        <row r="5740">
          <cell r="J5740">
            <v>74882028</v>
          </cell>
          <cell r="X5740">
            <v>31347926</v>
          </cell>
          <cell r="Y5740">
            <v>42594012</v>
          </cell>
        </row>
        <row r="5804">
          <cell r="H5804">
            <v>37473797</v>
          </cell>
        </row>
        <row r="5806">
          <cell r="J5806">
            <v>37473797</v>
          </cell>
        </row>
        <row r="5858">
          <cell r="X5858">
            <v>9914671</v>
          </cell>
          <cell r="Y5858">
            <v>44686498</v>
          </cell>
          <cell r="AF5858">
            <v>84888581</v>
          </cell>
        </row>
        <row r="5931">
          <cell r="J5931">
            <v>7999999</v>
          </cell>
        </row>
        <row r="5945">
          <cell r="J5945">
            <v>690000</v>
          </cell>
          <cell r="X5945">
            <v>3000000</v>
          </cell>
        </row>
        <row r="5966">
          <cell r="X5966">
            <v>4957075</v>
          </cell>
        </row>
        <row r="5975">
          <cell r="J5975">
            <v>29339994</v>
          </cell>
          <cell r="X5975">
            <v>5000000</v>
          </cell>
        </row>
        <row r="5997">
          <cell r="L5997">
            <v>9630000</v>
          </cell>
          <cell r="AB5997">
            <v>36556666</v>
          </cell>
        </row>
        <row r="6020">
          <cell r="AB6020">
            <v>3982166</v>
          </cell>
        </row>
        <row r="6031">
          <cell r="L6031">
            <v>17833334</v>
          </cell>
          <cell r="AB6031">
            <v>31583333</v>
          </cell>
        </row>
        <row r="6056">
          <cell r="L6056">
            <v>3920000</v>
          </cell>
          <cell r="X6056">
            <v>1960000</v>
          </cell>
          <cell r="AA6056">
            <v>6120000</v>
          </cell>
        </row>
        <row r="6068">
          <cell r="AB6068">
            <v>66331997</v>
          </cell>
        </row>
        <row r="6090">
          <cell r="AF6090">
            <v>7983002</v>
          </cell>
        </row>
        <row r="6106">
          <cell r="AB6106">
            <v>280510000</v>
          </cell>
        </row>
        <row r="6196">
          <cell r="X6196">
            <v>10424156</v>
          </cell>
          <cell r="AB6196">
            <v>91580000</v>
          </cell>
        </row>
        <row r="6226">
          <cell r="X6226">
            <v>63489351</v>
          </cell>
          <cell r="AB6226">
            <v>19958333</v>
          </cell>
        </row>
        <row r="6291">
          <cell r="AB6291">
            <v>290703333</v>
          </cell>
        </row>
        <row r="6344">
          <cell r="AA6344">
            <v>34453333</v>
          </cell>
          <cell r="AF6344">
            <v>51067053</v>
          </cell>
        </row>
        <row r="6407">
          <cell r="L6407">
            <v>31816666</v>
          </cell>
          <cell r="X6407">
            <v>29143623</v>
          </cell>
          <cell r="AA6407">
            <v>39246663</v>
          </cell>
        </row>
        <row r="6460">
          <cell r="L6460">
            <v>32549999</v>
          </cell>
          <cell r="AA6460">
            <v>35500000</v>
          </cell>
        </row>
        <row r="6496">
          <cell r="J6496">
            <v>240679663</v>
          </cell>
          <cell r="L6496">
            <v>139584667</v>
          </cell>
          <cell r="M6496">
            <v>165734932</v>
          </cell>
          <cell r="AA6496">
            <v>147264000</v>
          </cell>
          <cell r="AF6496">
            <v>9863400</v>
          </cell>
        </row>
        <row r="6789">
          <cell r="L6789">
            <v>105896667</v>
          </cell>
          <cell r="AA6789">
            <v>111265615</v>
          </cell>
        </row>
        <row r="6839">
          <cell r="R6839">
            <v>42007000</v>
          </cell>
        </row>
        <row r="6871">
          <cell r="AF6871">
            <v>4987100</v>
          </cell>
        </row>
        <row r="6883">
          <cell r="J6883">
            <v>0</v>
          </cell>
          <cell r="M6883">
            <v>334123055</v>
          </cell>
          <cell r="X6883">
            <v>13021449</v>
          </cell>
          <cell r="AF6883">
            <v>36523770</v>
          </cell>
        </row>
        <row r="6936">
          <cell r="M6936">
            <v>143515050</v>
          </cell>
        </row>
        <row r="6951">
          <cell r="M6951">
            <v>65673720</v>
          </cell>
          <cell r="AE6951">
            <v>44817066</v>
          </cell>
          <cell r="AF6951">
            <v>24150210</v>
          </cell>
        </row>
        <row r="7027">
          <cell r="M7027">
            <v>3570000</v>
          </cell>
          <cell r="AF7027">
            <v>6648900</v>
          </cell>
        </row>
        <row r="7044">
          <cell r="M7044">
            <v>10132850</v>
          </cell>
        </row>
        <row r="7070">
          <cell r="M7070">
            <v>1073529050</v>
          </cell>
          <cell r="S7070">
            <v>35000000</v>
          </cell>
          <cell r="AF7070">
            <v>6299007</v>
          </cell>
        </row>
        <row r="7128">
          <cell r="M7128">
            <v>87868744</v>
          </cell>
          <cell r="AF7128">
            <v>18149677</v>
          </cell>
        </row>
        <row r="7166">
          <cell r="M7166">
            <v>244809203</v>
          </cell>
        </row>
        <row r="7184">
          <cell r="AF7184">
            <v>21440000</v>
          </cell>
        </row>
        <row r="7198">
          <cell r="H7198">
            <v>133473955</v>
          </cell>
        </row>
        <row r="7200">
          <cell r="AF7200">
            <v>133473955</v>
          </cell>
        </row>
        <row r="7247">
          <cell r="AF7247">
            <v>6089390</v>
          </cell>
        </row>
        <row r="7273">
          <cell r="Z7273">
            <v>102400000</v>
          </cell>
          <cell r="AF7273">
            <v>182724483</v>
          </cell>
        </row>
        <row r="7316">
          <cell r="X7316">
            <v>317040800</v>
          </cell>
          <cell r="AF7316">
            <v>60000000</v>
          </cell>
        </row>
        <row r="7346">
          <cell r="X7346">
            <v>106500000</v>
          </cell>
          <cell r="AF7346">
            <v>24613998</v>
          </cell>
        </row>
        <row r="7372">
          <cell r="J7372">
            <v>44457860</v>
          </cell>
          <cell r="X7372">
            <v>42829360</v>
          </cell>
        </row>
        <row r="7392">
          <cell r="J7392">
            <v>54909740</v>
          </cell>
          <cell r="X7392">
            <v>68233413</v>
          </cell>
        </row>
        <row r="7417">
          <cell r="J7417">
            <v>199915580</v>
          </cell>
          <cell r="X7417">
            <v>189015277</v>
          </cell>
          <cell r="Y7417">
            <v>82861933</v>
          </cell>
        </row>
        <row r="7500">
          <cell r="J7500">
            <v>199386400</v>
          </cell>
          <cell r="L7500">
            <v>11412775</v>
          </cell>
          <cell r="M7500">
            <v>281162695</v>
          </cell>
          <cell r="X7500">
            <v>22338694</v>
          </cell>
        </row>
        <row r="7556">
          <cell r="J7556">
            <v>97577197</v>
          </cell>
          <cell r="X7556">
            <v>42839995</v>
          </cell>
        </row>
        <row r="7586">
          <cell r="H7586">
            <v>5546666</v>
          </cell>
        </row>
        <row r="7589">
          <cell r="J7589">
            <v>5546666</v>
          </cell>
        </row>
        <row r="7594">
          <cell r="J7594">
            <v>90046667</v>
          </cell>
          <cell r="X7594">
            <v>86874517</v>
          </cell>
        </row>
        <row r="7632">
          <cell r="J7632">
            <v>99986417</v>
          </cell>
          <cell r="X7632">
            <v>79955357</v>
          </cell>
        </row>
        <row r="7700">
          <cell r="J7700">
            <v>59500000</v>
          </cell>
          <cell r="Y7700">
            <v>29333334</v>
          </cell>
        </row>
        <row r="7715">
          <cell r="J7715">
            <v>5800000</v>
          </cell>
        </row>
        <row r="7733">
          <cell r="X7733">
            <v>96884511</v>
          </cell>
          <cell r="Y7733">
            <v>67844332</v>
          </cell>
        </row>
        <row r="7805">
          <cell r="J7805">
            <v>8428833</v>
          </cell>
        </row>
        <row r="7817">
          <cell r="J7817">
            <v>61503284</v>
          </cell>
        </row>
      </sheetData>
      <sheetData sheetId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18">
          <cell r="AF18">
            <v>12500000</v>
          </cell>
        </row>
        <row r="217">
          <cell r="O217">
            <v>5819242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83">
          <cell r="AF83">
            <v>10000000</v>
          </cell>
        </row>
        <row r="249">
          <cell r="H249">
            <v>5819242</v>
          </cell>
        </row>
        <row r="253">
          <cell r="H253">
            <v>6114092</v>
          </cell>
        </row>
        <row r="1978">
          <cell r="O1978">
            <v>270000000</v>
          </cell>
          <cell r="Z1978">
            <v>100000000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18">
          <cell r="J18">
            <v>17906667</v>
          </cell>
        </row>
        <row r="657">
          <cell r="H657">
            <v>7356597</v>
          </cell>
        </row>
        <row r="1327">
          <cell r="H1327">
            <v>44457860</v>
          </cell>
        </row>
        <row r="1336">
          <cell r="H1336">
            <v>54909740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. ACCIÓN A 30 NOV DE 2021"/>
      <sheetName val="P. ACCIÓN CONSOL 30 NOV DE 2021"/>
    </sheetNames>
    <sheetDataSet>
      <sheetData sheetId="0"/>
      <sheetData sheetId="1">
        <row r="199">
          <cell r="BF199">
            <v>1271120167</v>
          </cell>
        </row>
        <row r="200">
          <cell r="BF200">
            <v>5126063358</v>
          </cell>
        </row>
        <row r="201">
          <cell r="BF201">
            <v>3439805709</v>
          </cell>
        </row>
        <row r="202">
          <cell r="BF202">
            <v>2143880074</v>
          </cell>
        </row>
        <row r="203">
          <cell r="BF203">
            <v>11440336323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18">
          <cell r="AF18">
            <v>20499952</v>
          </cell>
        </row>
        <row r="19">
          <cell r="H19">
            <v>11906666</v>
          </cell>
        </row>
        <row r="22">
          <cell r="H22">
            <v>5000000</v>
          </cell>
        </row>
        <row r="31">
          <cell r="H31">
            <v>1000000</v>
          </cell>
        </row>
        <row r="43">
          <cell r="H43">
            <v>4308333</v>
          </cell>
        </row>
        <row r="2006">
          <cell r="H2006">
            <v>2034438</v>
          </cell>
        </row>
        <row r="2009">
          <cell r="H2009">
            <v>15000000</v>
          </cell>
        </row>
        <row r="2129">
          <cell r="H2129">
            <v>10246500</v>
          </cell>
        </row>
        <row r="2132">
          <cell r="H2132">
            <v>14902940</v>
          </cell>
        </row>
        <row r="2139">
          <cell r="H2139">
            <v>5000000</v>
          </cell>
        </row>
        <row r="2148">
          <cell r="H2148">
            <v>14041499</v>
          </cell>
        </row>
        <row r="2151">
          <cell r="H2151">
            <v>4633593</v>
          </cell>
        </row>
        <row r="2154">
          <cell r="H2154">
            <v>9995052</v>
          </cell>
        </row>
        <row r="2157">
          <cell r="H2157">
            <v>10355492</v>
          </cell>
        </row>
        <row r="2184">
          <cell r="X2184">
            <v>10000000</v>
          </cell>
        </row>
        <row r="3523">
          <cell r="H3523">
            <v>30000000</v>
          </cell>
        </row>
        <row r="3532">
          <cell r="H3532">
            <v>13700000</v>
          </cell>
        </row>
        <row r="3791">
          <cell r="H3791">
            <v>7428362</v>
          </cell>
        </row>
        <row r="3795">
          <cell r="H3795">
            <v>1000471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18">
          <cell r="J18">
            <v>29813333</v>
          </cell>
        </row>
        <row r="45">
          <cell r="H45">
            <v>7598333</v>
          </cell>
        </row>
        <row r="382">
          <cell r="H382">
            <v>108000000</v>
          </cell>
        </row>
        <row r="480">
          <cell r="H480">
            <v>3000000</v>
          </cell>
        </row>
        <row r="483">
          <cell r="H483">
            <v>3000000</v>
          </cell>
        </row>
        <row r="487">
          <cell r="H487">
            <v>7000000</v>
          </cell>
        </row>
        <row r="2646">
          <cell r="AF2646">
            <v>7150000</v>
          </cell>
        </row>
        <row r="2922">
          <cell r="Y2922">
            <v>8500000</v>
          </cell>
        </row>
        <row r="3054">
          <cell r="Y3054">
            <v>19896688</v>
          </cell>
        </row>
        <row r="4281">
          <cell r="H4281">
            <v>292703333</v>
          </cell>
        </row>
        <row r="4331">
          <cell r="X4331">
            <v>18500000</v>
          </cell>
        </row>
        <row r="4807">
          <cell r="O4807">
            <v>54980000</v>
          </cell>
        </row>
        <row r="4953">
          <cell r="H4953">
            <v>14974960</v>
          </cell>
        </row>
        <row r="4959">
          <cell r="H4959">
            <v>27854400</v>
          </cell>
        </row>
        <row r="4974">
          <cell r="H4974">
            <v>29657546</v>
          </cell>
        </row>
        <row r="4983">
          <cell r="H4983">
            <v>38575867</v>
          </cell>
        </row>
        <row r="4992">
          <cell r="H4992">
            <v>199915580</v>
          </cell>
        </row>
        <row r="5212">
          <cell r="H5212">
            <v>14400000</v>
          </cell>
        </row>
        <row r="5214">
          <cell r="AF5214">
            <v>14400000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18">
          <cell r="J18">
            <v>29813334</v>
          </cell>
        </row>
        <row r="25">
          <cell r="H25">
            <v>2500000</v>
          </cell>
        </row>
        <row r="28">
          <cell r="H28">
            <v>6000000</v>
          </cell>
        </row>
        <row r="35">
          <cell r="H35">
            <v>3998400</v>
          </cell>
        </row>
        <row r="37">
          <cell r="H37">
            <v>2900000</v>
          </cell>
        </row>
        <row r="40">
          <cell r="H40">
            <v>5099952</v>
          </cell>
        </row>
        <row r="277">
          <cell r="H277">
            <v>15000000</v>
          </cell>
        </row>
        <row r="1014">
          <cell r="J1014">
            <v>30000000</v>
          </cell>
        </row>
        <row r="1811">
          <cell r="X1811">
            <v>10000000</v>
          </cell>
        </row>
        <row r="2245">
          <cell r="X2245">
            <v>10000000</v>
          </cell>
        </row>
        <row r="2325">
          <cell r="J2325">
            <v>60000000</v>
          </cell>
        </row>
        <row r="2364">
          <cell r="X2364">
            <v>10000000</v>
          </cell>
        </row>
        <row r="2463">
          <cell r="H2463">
            <v>3000000</v>
          </cell>
        </row>
        <row r="2629">
          <cell r="X2629">
            <v>10000000</v>
          </cell>
        </row>
        <row r="2726">
          <cell r="X2726">
            <v>7357718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  <sheetName val="Hoja1"/>
    </sheetNames>
    <sheetDataSet>
      <sheetData sheetId="0">
        <row r="63">
          <cell r="H63">
            <v>5999999</v>
          </cell>
        </row>
        <row r="66">
          <cell r="H66">
            <v>29166667</v>
          </cell>
        </row>
        <row r="72">
          <cell r="H72">
            <v>7083333</v>
          </cell>
        </row>
        <row r="75">
          <cell r="H75">
            <v>9436160</v>
          </cell>
        </row>
        <row r="80">
          <cell r="H80">
            <v>10447172</v>
          </cell>
        </row>
        <row r="94">
          <cell r="H94">
            <v>5000000</v>
          </cell>
        </row>
        <row r="155">
          <cell r="H155">
            <v>59286788</v>
          </cell>
        </row>
        <row r="169">
          <cell r="H169">
            <v>10000000</v>
          </cell>
        </row>
        <row r="174">
          <cell r="H174">
            <v>500000</v>
          </cell>
        </row>
        <row r="177">
          <cell r="H177">
            <v>4099000</v>
          </cell>
        </row>
        <row r="181">
          <cell r="H181">
            <v>14075807</v>
          </cell>
        </row>
        <row r="187">
          <cell r="H187">
            <v>8000000</v>
          </cell>
        </row>
        <row r="230">
          <cell r="H230">
            <v>40025299</v>
          </cell>
        </row>
        <row r="335">
          <cell r="H335">
            <v>1035350</v>
          </cell>
        </row>
        <row r="357">
          <cell r="H357">
            <v>14473333</v>
          </cell>
        </row>
        <row r="361">
          <cell r="H361">
            <v>5720000</v>
          </cell>
        </row>
        <row r="382">
          <cell r="H382">
            <v>7200000</v>
          </cell>
        </row>
        <row r="394">
          <cell r="H394">
            <v>20964650</v>
          </cell>
        </row>
        <row r="507">
          <cell r="H507">
            <v>2971716</v>
          </cell>
        </row>
        <row r="548">
          <cell r="H548">
            <v>10640000</v>
          </cell>
        </row>
        <row r="551">
          <cell r="H551">
            <v>11416667</v>
          </cell>
        </row>
        <row r="565">
          <cell r="H565">
            <v>29606666</v>
          </cell>
        </row>
        <row r="576">
          <cell r="H576">
            <v>3499909</v>
          </cell>
        </row>
        <row r="590">
          <cell r="H590">
            <v>8586667</v>
          </cell>
        </row>
        <row r="1071">
          <cell r="H1071">
            <v>5405098</v>
          </cell>
        </row>
        <row r="2898">
          <cell r="H2898">
            <v>1450810</v>
          </cell>
        </row>
        <row r="5801">
          <cell r="H5801">
            <v>4983002</v>
          </cell>
        </row>
        <row r="5894">
          <cell r="H5894">
            <v>102004156</v>
          </cell>
        </row>
        <row r="5901">
          <cell r="H5901">
            <v>91580000</v>
          </cell>
        </row>
        <row r="6035">
          <cell r="H6035">
            <v>3000000</v>
          </cell>
        </row>
        <row r="6600">
          <cell r="H6600">
            <v>143515050</v>
          </cell>
        </row>
        <row r="6849">
          <cell r="H6849">
            <v>6089390</v>
          </cell>
        </row>
        <row r="7036">
          <cell r="H7036">
            <v>87974697</v>
          </cell>
        </row>
        <row r="7061">
          <cell r="H7061">
            <v>21083980</v>
          </cell>
        </row>
        <row r="7067">
          <cell r="H7067">
            <v>79956600</v>
          </cell>
        </row>
        <row r="7077">
          <cell r="H7077">
            <v>82861933</v>
          </cell>
        </row>
        <row r="7093">
          <cell r="AF7093">
            <v>8000000</v>
          </cell>
        </row>
        <row r="7300">
          <cell r="G7300">
            <v>1600000</v>
          </cell>
        </row>
        <row r="7301">
          <cell r="H7301">
            <v>1600000</v>
          </cell>
        </row>
        <row r="7422">
          <cell r="H7422">
            <v>2200000</v>
          </cell>
        </row>
        <row r="7425">
          <cell r="H7425">
            <v>5000000</v>
          </cell>
        </row>
        <row r="7463">
          <cell r="H7463">
            <v>2200000</v>
          </cell>
        </row>
      </sheetData>
      <sheetData sheetId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18">
          <cell r="AF18">
            <v>20500000</v>
          </cell>
        </row>
        <row r="86">
          <cell r="AF86">
            <v>10500000</v>
          </cell>
        </row>
        <row r="241">
          <cell r="AA241">
            <v>15000000</v>
          </cell>
        </row>
        <row r="1400">
          <cell r="H1400">
            <v>6343400</v>
          </cell>
        </row>
        <row r="1403">
          <cell r="H1403">
            <v>6300000</v>
          </cell>
        </row>
        <row r="2277">
          <cell r="L2277">
            <v>434799132</v>
          </cell>
          <cell r="N2277">
            <v>6855066956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18">
          <cell r="AA18">
            <v>1000000</v>
          </cell>
        </row>
        <row r="154">
          <cell r="G154">
            <v>8000000</v>
          </cell>
        </row>
        <row r="418">
          <cell r="J418">
            <v>10000000</v>
          </cell>
        </row>
        <row r="2575">
          <cell r="H2575">
            <v>10000000</v>
          </cell>
        </row>
        <row r="3109">
          <cell r="AF3109">
            <v>8766666</v>
          </cell>
        </row>
        <row r="3521">
          <cell r="K3521">
            <v>2000000</v>
          </cell>
        </row>
        <row r="3546">
          <cell r="H3546">
            <v>2000000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  <sheetName val="Hoja1"/>
    </sheetNames>
    <sheetDataSet>
      <sheetData sheetId="0">
        <row r="133">
          <cell r="J133">
            <v>100000000</v>
          </cell>
        </row>
        <row r="363">
          <cell r="H363">
            <v>99968332</v>
          </cell>
        </row>
        <row r="372">
          <cell r="H372">
            <v>12920000</v>
          </cell>
        </row>
        <row r="376">
          <cell r="H376">
            <v>5000000</v>
          </cell>
        </row>
        <row r="379">
          <cell r="H379">
            <v>1000000</v>
          </cell>
        </row>
        <row r="382">
          <cell r="H382">
            <v>3000000</v>
          </cell>
        </row>
        <row r="385">
          <cell r="H385">
            <v>13726666</v>
          </cell>
        </row>
        <row r="388">
          <cell r="H388">
            <v>3000000</v>
          </cell>
        </row>
        <row r="392">
          <cell r="H392">
            <v>500000</v>
          </cell>
        </row>
        <row r="395">
          <cell r="H395">
            <v>14364982</v>
          </cell>
        </row>
        <row r="399">
          <cell r="H399">
            <v>7866666</v>
          </cell>
        </row>
        <row r="403">
          <cell r="H403">
            <v>28211665</v>
          </cell>
        </row>
        <row r="411">
          <cell r="H411">
            <v>9999999</v>
          </cell>
        </row>
        <row r="414">
          <cell r="H414">
            <v>14984000</v>
          </cell>
        </row>
        <row r="419">
          <cell r="H419">
            <v>59491665</v>
          </cell>
        </row>
        <row r="429">
          <cell r="H429">
            <v>2000000</v>
          </cell>
        </row>
        <row r="432">
          <cell r="H432">
            <v>7700000</v>
          </cell>
        </row>
        <row r="2108">
          <cell r="H2108">
            <v>9999999</v>
          </cell>
        </row>
        <row r="2367">
          <cell r="H2367">
            <v>27611531</v>
          </cell>
        </row>
        <row r="3415">
          <cell r="H3415">
            <v>13999998</v>
          </cell>
        </row>
        <row r="5143">
          <cell r="AF5143">
            <v>3000000</v>
          </cell>
        </row>
        <row r="5245">
          <cell r="H5245">
            <v>5750000</v>
          </cell>
        </row>
        <row r="5248">
          <cell r="H5248">
            <v>17480000</v>
          </cell>
        </row>
        <row r="5254">
          <cell r="H5254">
            <v>10766663</v>
          </cell>
        </row>
        <row r="5264">
          <cell r="H5264">
            <v>5250000</v>
          </cell>
        </row>
        <row r="5268">
          <cell r="H5268">
            <v>4583333</v>
          </cell>
        </row>
        <row r="5271">
          <cell r="H5271">
            <v>24560290</v>
          </cell>
        </row>
        <row r="5279">
          <cell r="H5279">
            <v>8916667</v>
          </cell>
        </row>
        <row r="5282">
          <cell r="H5282">
            <v>22899999</v>
          </cell>
        </row>
        <row r="5290">
          <cell r="AA5290">
            <v>405000</v>
          </cell>
        </row>
        <row r="5742">
          <cell r="AB5742">
            <v>49963689</v>
          </cell>
        </row>
        <row r="6182">
          <cell r="Y6182">
            <v>10000000</v>
          </cell>
        </row>
        <row r="6273">
          <cell r="H6273">
            <v>5800000</v>
          </cell>
        </row>
        <row r="6358">
          <cell r="AF6358">
            <v>9400000</v>
          </cell>
        </row>
      </sheetData>
      <sheetData sheetId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  <sheetName val="Hoja1"/>
    </sheetNames>
    <sheetDataSet>
      <sheetData sheetId="0">
        <row r="9">
          <cell r="I9">
            <v>18881433530</v>
          </cell>
        </row>
        <row r="118">
          <cell r="Z118">
            <v>108000000</v>
          </cell>
        </row>
        <row r="273">
          <cell r="H273">
            <v>9216667</v>
          </cell>
        </row>
        <row r="545">
          <cell r="H545">
            <v>14041499</v>
          </cell>
        </row>
        <row r="569">
          <cell r="AC569">
            <v>20000000</v>
          </cell>
        </row>
        <row r="1150">
          <cell r="G1150">
            <v>60000000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</sheetPr>
  <dimension ref="A1:EG148"/>
  <sheetViews>
    <sheetView showGridLines="0" topLeftCell="B4" zoomScaleNormal="100" zoomScaleSheetLayoutView="100" zoomScalePageLayoutView="50" workbookViewId="0">
      <pane xSplit="5" ySplit="2" topLeftCell="BD126" activePane="bottomRight" state="frozen"/>
      <selection activeCell="C4" sqref="C4"/>
      <selection pane="topRight" activeCell="G4" sqref="G4"/>
      <selection pane="bottomLeft" activeCell="C6" sqref="C6"/>
      <selection pane="bottomRight" activeCell="DJ124" sqref="DJ124"/>
    </sheetView>
  </sheetViews>
  <sheetFormatPr baseColWidth="10" defaultRowHeight="14.4" x14ac:dyDescent="0.3"/>
  <cols>
    <col min="1" max="1" width="8.33203125" hidden="1" customWidth="1"/>
    <col min="2" max="2" width="21.88671875" customWidth="1"/>
    <col min="3" max="3" width="9" customWidth="1"/>
    <col min="4" max="4" width="50.33203125" customWidth="1"/>
    <col min="5" max="5" width="16" hidden="1" customWidth="1"/>
    <col min="6" max="6" width="14.5546875" hidden="1" customWidth="1"/>
    <col min="7" max="7" width="14.88671875" customWidth="1"/>
    <col min="8" max="8" width="16" hidden="1" customWidth="1"/>
    <col min="9" max="9" width="13.6640625" hidden="1" customWidth="1"/>
    <col min="10" max="10" width="13.109375" customWidth="1"/>
    <col min="11" max="11" width="12.5546875" customWidth="1"/>
    <col min="12" max="12" width="10.33203125" customWidth="1"/>
    <col min="13" max="13" width="12.6640625" customWidth="1"/>
    <col min="14" max="14" width="13.44140625" customWidth="1"/>
    <col min="15" max="15" width="12.5546875" customWidth="1"/>
    <col min="16" max="16" width="10.88671875" customWidth="1"/>
    <col min="17" max="17" width="12.88671875" customWidth="1"/>
    <col min="18" max="18" width="11" customWidth="1"/>
    <col min="19" max="19" width="12.33203125" customWidth="1"/>
    <col min="20" max="20" width="11.88671875" customWidth="1"/>
    <col min="21" max="21" width="12" customWidth="1"/>
    <col min="22" max="23" width="11.109375" customWidth="1"/>
    <col min="24" max="24" width="11.6640625" customWidth="1"/>
    <col min="25" max="25" width="13" customWidth="1"/>
    <col min="26" max="26" width="13.109375" customWidth="1"/>
    <col min="27" max="27" width="14.33203125" customWidth="1"/>
    <col min="28" max="28" width="11.33203125" customWidth="1"/>
    <col min="29" max="29" width="12.6640625" customWidth="1"/>
    <col min="30" max="30" width="12" customWidth="1"/>
    <col min="31" max="31" width="12.44140625" customWidth="1"/>
    <col min="32" max="32" width="12.6640625" customWidth="1"/>
    <col min="33" max="33" width="9.109375" customWidth="1"/>
    <col min="34" max="34" width="14.33203125" customWidth="1"/>
    <col min="35" max="35" width="13.5546875" customWidth="1"/>
    <col min="36" max="37" width="14" customWidth="1"/>
    <col min="38" max="38" width="13" customWidth="1"/>
    <col min="39" max="39" width="15" customWidth="1"/>
    <col min="40" max="40" width="12.44140625" customWidth="1"/>
    <col min="41" max="41" width="12.109375" customWidth="1"/>
    <col min="42" max="42" width="12.44140625" customWidth="1"/>
    <col min="43" max="44" width="15" customWidth="1"/>
    <col min="45" max="45" width="11.6640625" customWidth="1"/>
    <col min="46" max="46" width="13.33203125" customWidth="1"/>
    <col min="47" max="47" width="12.5546875" customWidth="1"/>
    <col min="48" max="49" width="14.109375" customWidth="1"/>
    <col min="50" max="50" width="13.5546875" customWidth="1"/>
    <col min="51" max="51" width="13.44140625" customWidth="1"/>
    <col min="52" max="52" width="13" customWidth="1"/>
    <col min="53" max="54" width="13.44140625" customWidth="1"/>
    <col min="55" max="56" width="15.5546875" customWidth="1"/>
    <col min="57" max="57" width="13.88671875" customWidth="1"/>
    <col min="58" max="58" width="9" customWidth="1"/>
    <col min="59" max="59" width="14.88671875" customWidth="1"/>
    <col min="60" max="60" width="14.5546875" customWidth="1"/>
    <col min="61" max="61" width="16.5546875" customWidth="1"/>
    <col min="62" max="62" width="13.6640625" customWidth="1"/>
    <col min="63" max="63" width="14" customWidth="1"/>
    <col min="64" max="69" width="16.5546875" customWidth="1"/>
    <col min="70" max="70" width="15" customWidth="1"/>
    <col min="71" max="72" width="14.44140625" customWidth="1"/>
    <col min="73" max="73" width="16.5546875" customWidth="1"/>
    <col min="74" max="74" width="13.33203125" customWidth="1"/>
    <col min="75" max="75" width="13.44140625" customWidth="1"/>
    <col min="76" max="76" width="12.88671875" customWidth="1"/>
    <col min="77" max="78" width="16.5546875" customWidth="1"/>
    <col min="79" max="79" width="15.44140625" customWidth="1"/>
    <col min="80" max="80" width="14" customWidth="1"/>
    <col min="81" max="81" width="16.5546875" customWidth="1"/>
    <col min="82" max="82" width="14" customWidth="1"/>
    <col min="83" max="83" width="10.33203125" customWidth="1"/>
    <col min="84" max="84" width="16.33203125" customWidth="1"/>
    <col min="85" max="85" width="12.33203125" customWidth="1"/>
    <col min="86" max="88" width="13.33203125" customWidth="1"/>
    <col min="89" max="90" width="14" customWidth="1"/>
    <col min="91" max="91" width="15.44140625" customWidth="1"/>
    <col min="92" max="94" width="13.5546875" customWidth="1"/>
    <col min="95" max="95" width="11.6640625" customWidth="1"/>
    <col min="96" max="96" width="13.44140625" customWidth="1"/>
    <col min="97" max="97" width="15.6640625" customWidth="1"/>
    <col min="98" max="99" width="16.33203125" customWidth="1"/>
    <col min="100" max="100" width="13.6640625" customWidth="1"/>
    <col min="101" max="101" width="13" customWidth="1"/>
    <col min="102" max="103" width="14.33203125" customWidth="1"/>
    <col min="104" max="104" width="13.6640625" customWidth="1"/>
    <col min="105" max="106" width="12.33203125" customWidth="1"/>
    <col min="107" max="107" width="13.44140625" customWidth="1"/>
    <col min="108" max="108" width="9.6640625" customWidth="1"/>
    <col min="109" max="109" width="15" customWidth="1"/>
    <col min="110" max="110" width="13.6640625" customWidth="1"/>
    <col min="111" max="111" width="14.44140625" customWidth="1"/>
    <col min="112" max="112" width="12.88671875" customWidth="1"/>
    <col min="113" max="113" width="14" customWidth="1"/>
    <col min="114" max="115" width="15.5546875" customWidth="1"/>
    <col min="116" max="116" width="14.44140625" customWidth="1"/>
    <col min="117" max="117" width="12.6640625" customWidth="1"/>
    <col min="118" max="119" width="13.5546875" customWidth="1"/>
    <col min="120" max="121" width="13.88671875" customWidth="1"/>
    <col min="122" max="122" width="13.6640625" customWidth="1"/>
    <col min="123" max="125" width="13.88671875" customWidth="1"/>
    <col min="126" max="126" width="13.33203125" customWidth="1"/>
    <col min="127" max="128" width="14.44140625" customWidth="1"/>
    <col min="129" max="129" width="14.88671875" customWidth="1"/>
    <col min="130" max="131" width="14.33203125" customWidth="1"/>
    <col min="132" max="132" width="13.5546875" customWidth="1"/>
    <col min="133" max="133" width="3.33203125" customWidth="1"/>
    <col min="134" max="134" width="13.6640625" customWidth="1"/>
    <col min="135" max="135" width="13.44140625" customWidth="1"/>
    <col min="136" max="136" width="16.5546875" customWidth="1"/>
    <col min="137" max="159" width="11.44140625" customWidth="1"/>
  </cols>
  <sheetData>
    <row r="1" spans="1:136" ht="15.75" hidden="1" x14ac:dyDescent="0.25">
      <c r="B1" s="1"/>
      <c r="C1" s="209" t="s">
        <v>0</v>
      </c>
      <c r="D1" s="209"/>
      <c r="E1" s="209"/>
      <c r="F1" s="209"/>
      <c r="G1" s="209"/>
      <c r="H1" s="209"/>
      <c r="I1" s="209"/>
      <c r="J1" s="209"/>
      <c r="K1" s="209"/>
      <c r="L1" s="209"/>
      <c r="M1" s="209"/>
      <c r="N1" s="209"/>
      <c r="O1" s="209"/>
      <c r="P1" s="209"/>
      <c r="Q1" s="209"/>
      <c r="R1" s="209"/>
      <c r="S1" s="209"/>
      <c r="T1" s="209"/>
      <c r="U1" s="209"/>
      <c r="V1" s="209"/>
      <c r="W1" s="209"/>
      <c r="X1" s="209"/>
      <c r="Y1" s="209"/>
      <c r="Z1" s="209"/>
      <c r="AA1" s="209"/>
      <c r="AB1" s="209"/>
      <c r="AC1" s="209"/>
      <c r="AD1" s="209"/>
      <c r="AE1" s="209"/>
      <c r="AF1" s="209"/>
    </row>
    <row r="2" spans="1:136" ht="18" hidden="1" customHeight="1" x14ac:dyDescent="0.25">
      <c r="B2" s="2"/>
      <c r="C2" s="210" t="s">
        <v>1</v>
      </c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P2" s="210"/>
      <c r="Q2" s="210"/>
      <c r="R2" s="210"/>
      <c r="S2" s="210"/>
      <c r="T2" s="210"/>
      <c r="U2" s="210"/>
      <c r="V2" s="210"/>
      <c r="W2" s="210"/>
      <c r="X2" s="210"/>
      <c r="Y2" s="210"/>
      <c r="Z2" s="210"/>
      <c r="AA2" s="210"/>
      <c r="AB2" s="210"/>
      <c r="AC2" s="210"/>
      <c r="AD2" s="210"/>
      <c r="AE2" s="210"/>
      <c r="AF2" s="210"/>
    </row>
    <row r="3" spans="1:136" ht="15" hidden="1" customHeight="1" x14ac:dyDescent="0.3">
      <c r="B3" s="3"/>
      <c r="C3" s="210" t="s">
        <v>2</v>
      </c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P3" s="210"/>
      <c r="Q3" s="210"/>
      <c r="R3" s="210"/>
      <c r="S3" s="210"/>
      <c r="T3" s="210"/>
      <c r="U3" s="210"/>
      <c r="V3" s="210"/>
      <c r="W3" s="210"/>
      <c r="X3" s="210"/>
      <c r="Y3" s="210"/>
      <c r="Z3" s="210"/>
      <c r="AA3" s="210"/>
      <c r="AB3" s="210"/>
      <c r="AC3" s="210"/>
      <c r="AD3" s="210"/>
      <c r="AE3" s="210"/>
      <c r="AF3" s="210"/>
      <c r="AG3" s="4"/>
      <c r="AH3" s="207" t="s">
        <v>3</v>
      </c>
      <c r="AI3" s="211"/>
      <c r="AJ3" s="211"/>
      <c r="AK3" s="211"/>
      <c r="AL3" s="211"/>
      <c r="AM3" s="211"/>
      <c r="AN3" s="211"/>
      <c r="AO3" s="211"/>
      <c r="AP3" s="211"/>
      <c r="AQ3" s="211"/>
      <c r="AR3" s="211"/>
      <c r="AS3" s="211"/>
      <c r="AT3" s="211"/>
      <c r="AU3" s="211"/>
      <c r="AV3" s="211"/>
      <c r="AW3" s="211"/>
      <c r="AX3" s="211"/>
      <c r="AY3" s="211"/>
      <c r="AZ3" s="211"/>
      <c r="BA3" s="211"/>
      <c r="BB3" s="211"/>
      <c r="BC3" s="211"/>
      <c r="BD3" s="211"/>
      <c r="BE3" s="212"/>
      <c r="BF3" s="5"/>
      <c r="BG3" s="6"/>
      <c r="BH3" s="198" t="s">
        <v>4</v>
      </c>
      <c r="BI3" s="199"/>
      <c r="BJ3" s="199"/>
      <c r="BK3" s="199"/>
      <c r="BL3" s="199"/>
      <c r="BM3" s="199"/>
      <c r="BN3" s="199"/>
      <c r="BO3" s="199"/>
      <c r="BP3" s="199"/>
      <c r="BQ3" s="199"/>
      <c r="BR3" s="199"/>
      <c r="BS3" s="199"/>
      <c r="BT3" s="199"/>
      <c r="BU3" s="199"/>
      <c r="BV3" s="199"/>
      <c r="BW3" s="199"/>
      <c r="BX3" s="199"/>
      <c r="BY3" s="199"/>
      <c r="BZ3" s="199"/>
      <c r="CA3" s="199"/>
      <c r="CB3" s="199"/>
      <c r="CC3" s="199"/>
      <c r="CD3" s="199"/>
      <c r="CE3" s="208"/>
      <c r="CF3" s="207"/>
      <c r="CG3" s="199"/>
      <c r="CH3" s="199"/>
      <c r="CI3" s="199"/>
      <c r="CJ3" s="199"/>
      <c r="CK3" s="199"/>
      <c r="CL3" s="199"/>
      <c r="CM3" s="199"/>
      <c r="CN3" s="199"/>
      <c r="CO3" s="199"/>
      <c r="CP3" s="199"/>
      <c r="CQ3" s="199"/>
      <c r="CR3" s="199"/>
      <c r="CS3" s="199"/>
      <c r="CT3" s="199"/>
      <c r="CU3" s="199"/>
      <c r="CV3" s="199"/>
      <c r="CW3" s="199"/>
      <c r="CX3" s="199"/>
      <c r="CY3" s="199"/>
      <c r="CZ3" s="199"/>
      <c r="DA3" s="199"/>
      <c r="DB3" s="199"/>
      <c r="DC3" s="208"/>
      <c r="DD3" s="5"/>
      <c r="DE3" s="198" t="s">
        <v>4</v>
      </c>
      <c r="DF3" s="199"/>
      <c r="DG3" s="199"/>
      <c r="DH3" s="199"/>
      <c r="DI3" s="199"/>
      <c r="DJ3" s="199"/>
      <c r="DK3" s="199"/>
      <c r="DL3" s="199"/>
      <c r="DM3" s="199"/>
      <c r="DN3" s="199"/>
      <c r="DO3" s="199"/>
      <c r="DP3" s="199"/>
      <c r="DQ3" s="199"/>
      <c r="DR3" s="199"/>
      <c r="DS3" s="199"/>
      <c r="DT3" s="199"/>
      <c r="DU3" s="199"/>
      <c r="DV3" s="199"/>
      <c r="DW3" s="199"/>
      <c r="DX3" s="199"/>
      <c r="DY3" s="199"/>
      <c r="DZ3" s="199"/>
      <c r="EA3" s="199"/>
      <c r="EB3" s="199"/>
    </row>
    <row r="4" spans="1:136" ht="15" customHeight="1" x14ac:dyDescent="0.3">
      <c r="A4" s="200" t="s">
        <v>5</v>
      </c>
      <c r="B4" s="201" t="s">
        <v>6</v>
      </c>
      <c r="C4" s="200" t="s">
        <v>7</v>
      </c>
      <c r="D4" s="200" t="s">
        <v>8</v>
      </c>
      <c r="E4" s="202" t="s">
        <v>9</v>
      </c>
      <c r="F4" s="200" t="s">
        <v>10</v>
      </c>
      <c r="G4" s="203"/>
      <c r="H4" s="203"/>
      <c r="I4" s="203"/>
      <c r="J4" s="203"/>
      <c r="K4" s="203"/>
      <c r="L4" s="203"/>
      <c r="M4" s="203"/>
      <c r="N4" s="203"/>
      <c r="O4" s="203"/>
      <c r="P4" s="203"/>
      <c r="Q4" s="203"/>
      <c r="R4" s="203"/>
      <c r="S4" s="203"/>
      <c r="T4" s="203"/>
      <c r="U4" s="203"/>
      <c r="V4" s="203"/>
      <c r="W4" s="203"/>
      <c r="X4" s="203"/>
      <c r="Y4" s="203"/>
      <c r="Z4" s="203"/>
      <c r="AA4" s="203"/>
      <c r="AB4" s="203"/>
      <c r="AC4" s="203"/>
      <c r="AD4" s="203"/>
      <c r="AE4" s="203"/>
      <c r="AF4" s="203"/>
      <c r="AG4" s="7"/>
      <c r="AH4" s="204" t="s">
        <v>11</v>
      </c>
      <c r="AI4" s="205"/>
      <c r="AJ4" s="205"/>
      <c r="AK4" s="205"/>
      <c r="AL4" s="205"/>
      <c r="AM4" s="205"/>
      <c r="AN4" s="205"/>
      <c r="AO4" s="205"/>
      <c r="AP4" s="205"/>
      <c r="AQ4" s="205"/>
      <c r="AR4" s="205"/>
      <c r="AS4" s="205"/>
      <c r="AT4" s="205"/>
      <c r="AU4" s="205"/>
      <c r="AV4" s="205"/>
      <c r="AW4" s="205"/>
      <c r="AX4" s="205"/>
      <c r="AY4" s="205"/>
      <c r="AZ4" s="205"/>
      <c r="BA4" s="205"/>
      <c r="BB4" s="205"/>
      <c r="BC4" s="205"/>
      <c r="BD4" s="205"/>
      <c r="BE4" s="206"/>
      <c r="BF4" s="8"/>
      <c r="BG4" s="9"/>
      <c r="BH4" s="184" t="s">
        <v>12</v>
      </c>
      <c r="BI4" s="185"/>
      <c r="BJ4" s="185"/>
      <c r="BK4" s="185"/>
      <c r="BL4" s="185"/>
      <c r="BM4" s="185"/>
      <c r="BN4" s="185"/>
      <c r="BO4" s="185"/>
      <c r="BP4" s="185"/>
      <c r="BQ4" s="185"/>
      <c r="BR4" s="185"/>
      <c r="BS4" s="185"/>
      <c r="BT4" s="184" t="s">
        <v>12</v>
      </c>
      <c r="BU4" s="185"/>
      <c r="BV4" s="185"/>
      <c r="BW4" s="185"/>
      <c r="BX4" s="185"/>
      <c r="BY4" s="185"/>
      <c r="BZ4" s="185"/>
      <c r="CA4" s="185"/>
      <c r="CB4" s="185"/>
      <c r="CC4" s="185"/>
      <c r="CD4" s="186"/>
      <c r="CE4" s="10"/>
      <c r="CF4" s="7"/>
      <c r="CG4" s="204" t="s">
        <v>13</v>
      </c>
      <c r="CH4" s="205"/>
      <c r="CI4" s="205"/>
      <c r="CJ4" s="205"/>
      <c r="CK4" s="205"/>
      <c r="CL4" s="205"/>
      <c r="CM4" s="205"/>
      <c r="CN4" s="205"/>
      <c r="CO4" s="205"/>
      <c r="CP4" s="205"/>
      <c r="CQ4" s="205"/>
      <c r="CR4" s="205"/>
      <c r="CS4" s="205"/>
      <c r="CT4" s="11"/>
      <c r="CU4" s="11"/>
      <c r="CV4" s="205"/>
      <c r="CW4" s="205"/>
      <c r="CX4" s="205"/>
      <c r="CY4" s="205"/>
      <c r="CZ4" s="205"/>
      <c r="DA4" s="205"/>
      <c r="DB4" s="205"/>
      <c r="DC4" s="206"/>
      <c r="DD4" s="12"/>
      <c r="DE4" s="184" t="s">
        <v>12</v>
      </c>
      <c r="DF4" s="185"/>
      <c r="DG4" s="185"/>
      <c r="DH4" s="185"/>
      <c r="DI4" s="185"/>
      <c r="DJ4" s="185"/>
      <c r="DK4" s="185"/>
      <c r="DL4" s="185"/>
      <c r="DM4" s="185"/>
      <c r="DN4" s="185"/>
      <c r="DO4" s="185"/>
      <c r="DP4" s="185"/>
      <c r="DQ4" s="185"/>
      <c r="DR4" s="185" t="s">
        <v>12</v>
      </c>
      <c r="DS4" s="185"/>
      <c r="DT4" s="185"/>
      <c r="DU4" s="185"/>
      <c r="DV4" s="185"/>
      <c r="DW4" s="185"/>
      <c r="DX4" s="185"/>
      <c r="DY4" s="185"/>
      <c r="DZ4" s="185"/>
      <c r="EA4" s="185"/>
      <c r="EB4" s="186"/>
    </row>
    <row r="5" spans="1:136" s="16" customFormat="1" ht="36" customHeight="1" x14ac:dyDescent="0.25">
      <c r="A5" s="200"/>
      <c r="B5" s="201"/>
      <c r="C5" s="200"/>
      <c r="D5" s="200"/>
      <c r="E5" s="202"/>
      <c r="F5" s="200"/>
      <c r="G5" s="115" t="s">
        <v>14</v>
      </c>
      <c r="H5" s="116" t="s">
        <v>15</v>
      </c>
      <c r="I5" s="116" t="s">
        <v>16</v>
      </c>
      <c r="J5" s="117" t="s">
        <v>17</v>
      </c>
      <c r="K5" s="117" t="s">
        <v>18</v>
      </c>
      <c r="L5" s="117" t="s">
        <v>19</v>
      </c>
      <c r="M5" s="117" t="s">
        <v>20</v>
      </c>
      <c r="N5" s="117" t="s">
        <v>21</v>
      </c>
      <c r="O5" s="117" t="s">
        <v>22</v>
      </c>
      <c r="P5" s="117" t="s">
        <v>23</v>
      </c>
      <c r="Q5" s="117" t="s">
        <v>24</v>
      </c>
      <c r="R5" s="117" t="s">
        <v>25</v>
      </c>
      <c r="S5" s="117" t="s">
        <v>26</v>
      </c>
      <c r="T5" s="117" t="s">
        <v>27</v>
      </c>
      <c r="U5" s="117" t="s">
        <v>28</v>
      </c>
      <c r="V5" s="117" t="s">
        <v>29</v>
      </c>
      <c r="W5" s="117" t="s">
        <v>30</v>
      </c>
      <c r="X5" s="117" t="s">
        <v>31</v>
      </c>
      <c r="Y5" s="117" t="s">
        <v>32</v>
      </c>
      <c r="Z5" s="117" t="s">
        <v>33</v>
      </c>
      <c r="AA5" s="117" t="s">
        <v>34</v>
      </c>
      <c r="AB5" s="117" t="s">
        <v>35</v>
      </c>
      <c r="AC5" s="117" t="s">
        <v>36</v>
      </c>
      <c r="AD5" s="117" t="s">
        <v>37</v>
      </c>
      <c r="AE5" s="117" t="s">
        <v>38</v>
      </c>
      <c r="AF5" s="117" t="s">
        <v>39</v>
      </c>
      <c r="AG5" s="13" t="s">
        <v>40</v>
      </c>
      <c r="AH5" s="14" t="s">
        <v>41</v>
      </c>
      <c r="AI5" s="14" t="s">
        <v>17</v>
      </c>
      <c r="AJ5" s="14" t="s">
        <v>18</v>
      </c>
      <c r="AK5" s="14" t="s">
        <v>19</v>
      </c>
      <c r="AL5" s="14" t="s">
        <v>20</v>
      </c>
      <c r="AM5" s="14" t="s">
        <v>21</v>
      </c>
      <c r="AN5" s="14" t="s">
        <v>22</v>
      </c>
      <c r="AO5" s="14" t="s">
        <v>23</v>
      </c>
      <c r="AP5" s="14" t="s">
        <v>24</v>
      </c>
      <c r="AQ5" s="14" t="s">
        <v>25</v>
      </c>
      <c r="AR5" s="14" t="s">
        <v>26</v>
      </c>
      <c r="AS5" s="14" t="s">
        <v>27</v>
      </c>
      <c r="AT5" s="14" t="s">
        <v>28</v>
      </c>
      <c r="AU5" s="14" t="s">
        <v>29</v>
      </c>
      <c r="AV5" s="14" t="s">
        <v>30</v>
      </c>
      <c r="AW5" s="14" t="s">
        <v>31</v>
      </c>
      <c r="AX5" s="14" t="s">
        <v>32</v>
      </c>
      <c r="AY5" s="14" t="s">
        <v>33</v>
      </c>
      <c r="AZ5" s="14" t="s">
        <v>34</v>
      </c>
      <c r="BA5" s="14" t="s">
        <v>35</v>
      </c>
      <c r="BB5" s="14" t="s">
        <v>36</v>
      </c>
      <c r="BC5" s="14" t="s">
        <v>37</v>
      </c>
      <c r="BD5" s="14" t="s">
        <v>38</v>
      </c>
      <c r="BE5" s="14" t="s">
        <v>39</v>
      </c>
      <c r="BF5" s="15" t="s">
        <v>40</v>
      </c>
      <c r="BG5" s="12" t="s">
        <v>41</v>
      </c>
      <c r="BH5" s="12" t="s">
        <v>17</v>
      </c>
      <c r="BI5" s="12" t="s">
        <v>18</v>
      </c>
      <c r="BJ5" s="12" t="s">
        <v>42</v>
      </c>
      <c r="BK5" s="12" t="s">
        <v>20</v>
      </c>
      <c r="BL5" s="12" t="s">
        <v>21</v>
      </c>
      <c r="BM5" s="12" t="s">
        <v>22</v>
      </c>
      <c r="BN5" s="12" t="s">
        <v>23</v>
      </c>
      <c r="BO5" s="12" t="s">
        <v>24</v>
      </c>
      <c r="BP5" s="12" t="s">
        <v>25</v>
      </c>
      <c r="BQ5" s="12" t="s">
        <v>26</v>
      </c>
      <c r="BR5" s="12" t="s">
        <v>27</v>
      </c>
      <c r="BS5" s="12" t="s">
        <v>28</v>
      </c>
      <c r="BT5" s="12" t="s">
        <v>29</v>
      </c>
      <c r="BU5" s="12" t="s">
        <v>30</v>
      </c>
      <c r="BV5" s="12" t="s">
        <v>31</v>
      </c>
      <c r="BW5" s="12" t="s">
        <v>32</v>
      </c>
      <c r="BX5" s="12" t="s">
        <v>33</v>
      </c>
      <c r="BY5" s="12" t="s">
        <v>34</v>
      </c>
      <c r="BZ5" s="12" t="s">
        <v>35</v>
      </c>
      <c r="CA5" s="12" t="s">
        <v>36</v>
      </c>
      <c r="CB5" s="12" t="s">
        <v>37</v>
      </c>
      <c r="CC5" s="12" t="s">
        <v>38</v>
      </c>
      <c r="CD5" s="12" t="s">
        <v>39</v>
      </c>
      <c r="CE5" s="13" t="s">
        <v>40</v>
      </c>
      <c r="CF5" s="14" t="s">
        <v>41</v>
      </c>
      <c r="CG5" s="14" t="s">
        <v>17</v>
      </c>
      <c r="CH5" s="14" t="s">
        <v>18</v>
      </c>
      <c r="CI5" s="14" t="s">
        <v>42</v>
      </c>
      <c r="CJ5" s="14" t="s">
        <v>20</v>
      </c>
      <c r="CK5" s="14" t="s">
        <v>21</v>
      </c>
      <c r="CL5" s="14" t="s">
        <v>22</v>
      </c>
      <c r="CM5" s="14" t="s">
        <v>23</v>
      </c>
      <c r="CN5" s="14" t="s">
        <v>24</v>
      </c>
      <c r="CO5" s="14" t="s">
        <v>25</v>
      </c>
      <c r="CP5" s="14" t="s">
        <v>26</v>
      </c>
      <c r="CQ5" s="14" t="s">
        <v>27</v>
      </c>
      <c r="CR5" s="14" t="s">
        <v>28</v>
      </c>
      <c r="CS5" s="14" t="s">
        <v>29</v>
      </c>
      <c r="CT5" s="14" t="s">
        <v>30</v>
      </c>
      <c r="CU5" s="14" t="s">
        <v>31</v>
      </c>
      <c r="CV5" s="14" t="s">
        <v>32</v>
      </c>
      <c r="CW5" s="14" t="s">
        <v>33</v>
      </c>
      <c r="CX5" s="14" t="s">
        <v>34</v>
      </c>
      <c r="CY5" s="14" t="s">
        <v>35</v>
      </c>
      <c r="CZ5" s="14" t="s">
        <v>36</v>
      </c>
      <c r="DA5" s="14" t="s">
        <v>37</v>
      </c>
      <c r="DB5" s="14" t="s">
        <v>38</v>
      </c>
      <c r="DC5" s="14" t="s">
        <v>39</v>
      </c>
      <c r="DD5" s="12" t="s">
        <v>40</v>
      </c>
      <c r="DE5" s="12" t="s">
        <v>41</v>
      </c>
      <c r="DF5" s="12" t="s">
        <v>17</v>
      </c>
      <c r="DG5" s="12" t="s">
        <v>18</v>
      </c>
      <c r="DH5" s="12" t="s">
        <v>42</v>
      </c>
      <c r="DI5" s="12" t="s">
        <v>20</v>
      </c>
      <c r="DJ5" s="12" t="s">
        <v>21</v>
      </c>
      <c r="DK5" s="12" t="s">
        <v>22</v>
      </c>
      <c r="DL5" s="12" t="s">
        <v>23</v>
      </c>
      <c r="DM5" s="12" t="s">
        <v>24</v>
      </c>
      <c r="DN5" s="12" t="s">
        <v>25</v>
      </c>
      <c r="DO5" s="12" t="s">
        <v>26</v>
      </c>
      <c r="DP5" s="12" t="s">
        <v>27</v>
      </c>
      <c r="DQ5" s="12" t="s">
        <v>28</v>
      </c>
      <c r="DR5" s="12" t="s">
        <v>29</v>
      </c>
      <c r="DS5" s="12" t="s">
        <v>30</v>
      </c>
      <c r="DT5" s="12" t="s">
        <v>31</v>
      </c>
      <c r="DU5" s="12" t="s">
        <v>32</v>
      </c>
      <c r="DV5" s="12" t="s">
        <v>33</v>
      </c>
      <c r="DW5" s="12" t="s">
        <v>34</v>
      </c>
      <c r="DX5" s="12" t="s">
        <v>35</v>
      </c>
      <c r="DY5" s="12" t="s">
        <v>36</v>
      </c>
      <c r="DZ5" s="12" t="s">
        <v>37</v>
      </c>
      <c r="EA5" s="12" t="s">
        <v>38</v>
      </c>
      <c r="EB5" s="12" t="s">
        <v>39</v>
      </c>
      <c r="ED5" s="16" t="s">
        <v>43</v>
      </c>
      <c r="EE5" s="16" t="s">
        <v>44</v>
      </c>
      <c r="EF5" s="16" t="s">
        <v>45</v>
      </c>
    </row>
    <row r="6" spans="1:136" ht="49.5" customHeight="1" x14ac:dyDescent="0.3">
      <c r="A6" s="197" t="s">
        <v>46</v>
      </c>
      <c r="B6" s="192" t="s">
        <v>47</v>
      </c>
      <c r="C6" s="17" t="s">
        <v>48</v>
      </c>
      <c r="D6" s="18" t="s">
        <v>49</v>
      </c>
      <c r="E6" s="19">
        <v>510</v>
      </c>
      <c r="F6" s="20" t="s">
        <v>50</v>
      </c>
      <c r="G6" s="21">
        <f t="shared" ref="G6:G23" si="0">SUM(J6:AF6)</f>
        <v>91329417</v>
      </c>
      <c r="H6" s="22">
        <v>100000000</v>
      </c>
      <c r="I6" s="22">
        <f>H6-G6</f>
        <v>8670583</v>
      </c>
      <c r="J6" s="21"/>
      <c r="K6" s="21">
        <f>40000000+13893335</f>
        <v>53893335</v>
      </c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>
        <v>10000000</v>
      </c>
      <c r="AA6" s="21">
        <f>6936130</f>
        <v>6936130</v>
      </c>
      <c r="AB6" s="21"/>
      <c r="AC6" s="21"/>
      <c r="AD6" s="21"/>
      <c r="AE6" s="21"/>
      <c r="AF6" s="21">
        <f>24000000-2000048-1500000</f>
        <v>20499952</v>
      </c>
      <c r="AG6" s="23">
        <f t="shared" ref="AG6:AG69" si="1">AH6/G6</f>
        <v>0.55088147557100908</v>
      </c>
      <c r="AH6" s="21">
        <f t="shared" ref="AH6:AH23" si="2">SUM(AI6:BE6)</f>
        <v>50311684</v>
      </c>
      <c r="AI6" s="24"/>
      <c r="AJ6" s="21">
        <f>+'[1]Acuerdo PLAN INVERSIÓN 2021'!$J$18</f>
        <v>29813332</v>
      </c>
      <c r="AK6" s="25"/>
      <c r="AL6" s="25"/>
      <c r="AM6" s="24"/>
      <c r="AN6" s="24"/>
      <c r="AO6" s="21"/>
      <c r="AP6" s="26"/>
      <c r="AQ6" s="26"/>
      <c r="AR6" s="26"/>
      <c r="AS6" s="26"/>
      <c r="AT6" s="26"/>
      <c r="AU6" s="26"/>
      <c r="AV6" s="26"/>
      <c r="AW6" s="26"/>
      <c r="AX6" s="21"/>
      <c r="AY6" s="21"/>
      <c r="AZ6" s="21"/>
      <c r="BA6" s="21"/>
      <c r="BB6" s="21"/>
      <c r="BC6" s="21"/>
      <c r="BD6" s="21"/>
      <c r="BE6" s="21">
        <f>+'[1]Acuerdo PLAN INVERSIÓN 2021'!$AF$18</f>
        <v>20498352</v>
      </c>
      <c r="BF6" s="23">
        <f>1-AG6</f>
        <v>0.44911852442899092</v>
      </c>
      <c r="BG6" s="21">
        <f t="shared" ref="BG6:BG23" si="3">SUM(BH6:CD6)</f>
        <v>41017733</v>
      </c>
      <c r="BH6" s="21">
        <f t="shared" ref="BH6:BW21" si="4">+J6-AI6</f>
        <v>0</v>
      </c>
      <c r="BI6" s="21">
        <f t="shared" si="4"/>
        <v>24080003</v>
      </c>
      <c r="BJ6" s="21">
        <f t="shared" si="4"/>
        <v>0</v>
      </c>
      <c r="BK6" s="21">
        <f t="shared" si="4"/>
        <v>0</v>
      </c>
      <c r="BL6" s="21">
        <f t="shared" si="4"/>
        <v>0</v>
      </c>
      <c r="BM6" s="21">
        <f t="shared" si="4"/>
        <v>0</v>
      </c>
      <c r="BN6" s="21">
        <f t="shared" si="4"/>
        <v>0</v>
      </c>
      <c r="BO6" s="21">
        <f t="shared" si="4"/>
        <v>0</v>
      </c>
      <c r="BP6" s="21">
        <f t="shared" si="4"/>
        <v>0</v>
      </c>
      <c r="BQ6" s="21">
        <f t="shared" si="4"/>
        <v>0</v>
      </c>
      <c r="BR6" s="21">
        <f t="shared" si="4"/>
        <v>0</v>
      </c>
      <c r="BS6" s="21">
        <f t="shared" si="4"/>
        <v>0</v>
      </c>
      <c r="BT6" s="21">
        <f t="shared" si="4"/>
        <v>0</v>
      </c>
      <c r="BU6" s="21">
        <f t="shared" si="4"/>
        <v>0</v>
      </c>
      <c r="BV6" s="21">
        <f t="shared" si="4"/>
        <v>0</v>
      </c>
      <c r="BW6" s="21">
        <f t="shared" si="4"/>
        <v>0</v>
      </c>
      <c r="BX6" s="21">
        <f t="shared" ref="BX6:CD23" si="5">+Z6-AY6</f>
        <v>10000000</v>
      </c>
      <c r="BY6" s="21">
        <f t="shared" si="5"/>
        <v>6936130</v>
      </c>
      <c r="BZ6" s="21">
        <f t="shared" si="5"/>
        <v>0</v>
      </c>
      <c r="CA6" s="21">
        <f t="shared" si="5"/>
        <v>0</v>
      </c>
      <c r="CB6" s="21">
        <f t="shared" si="5"/>
        <v>0</v>
      </c>
      <c r="CC6" s="21">
        <f t="shared" si="5"/>
        <v>0</v>
      </c>
      <c r="CD6" s="21">
        <f t="shared" si="5"/>
        <v>1600</v>
      </c>
      <c r="CE6" s="23">
        <f t="shared" ref="CE6:CE69" si="6">CF6/G6</f>
        <v>0.55088147557100908</v>
      </c>
      <c r="CF6" s="21">
        <f t="shared" ref="CF6:CF23" si="7">SUM(CG6:DC6)</f>
        <v>50311684</v>
      </c>
      <c r="CG6" s="21"/>
      <c r="CH6" s="21">
        <f>+'[2]Acuerdo PLAN INVERSIÓN 2021'!$H$19+'[2]Acuerdo PLAN INVERSIÓN 2021'!$H$22+'[2]Acuerdo PLAN INVERSIÓN 2021'!$H$31+'[2]Acuerdo PLAN INVERSIÓN 2021'!$H$43+'[3]Acuerdo PLAN INVERSIÓN 2021'!$H$45</f>
        <v>29813332</v>
      </c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21"/>
      <c r="DB6" s="21"/>
      <c r="DC6" s="21">
        <f>+'[4]Acuerdo PLAN INVERSIÓN 2021'!$H$25+'[4]Acuerdo PLAN INVERSIÓN 2021'!$H$28+'[4]Acuerdo PLAN INVERSIÓN 2021'!$H$35+'[4]Acuerdo PLAN INVERSIÓN 2021'!$H$37+'[4]Acuerdo PLAN INVERSIÓN 2021'!$H$40</f>
        <v>20498352</v>
      </c>
      <c r="DD6" s="23">
        <f t="shared" ref="DD6:DD69" si="8">1-CE6</f>
        <v>0.44911852442899092</v>
      </c>
      <c r="DE6" s="21">
        <f>SUM(DF6:EB6)</f>
        <v>41017733</v>
      </c>
      <c r="DF6" s="21">
        <f t="shared" ref="DF6:DU21" si="9">+J6-CG6</f>
        <v>0</v>
      </c>
      <c r="DG6" s="21">
        <f t="shared" si="9"/>
        <v>24080003</v>
      </c>
      <c r="DH6" s="21">
        <f t="shared" si="9"/>
        <v>0</v>
      </c>
      <c r="DI6" s="21">
        <f t="shared" si="9"/>
        <v>0</v>
      </c>
      <c r="DJ6" s="21">
        <f t="shared" si="9"/>
        <v>0</v>
      </c>
      <c r="DK6" s="21">
        <f t="shared" si="9"/>
        <v>0</v>
      </c>
      <c r="DL6" s="21">
        <f t="shared" si="9"/>
        <v>0</v>
      </c>
      <c r="DM6" s="21">
        <f t="shared" si="9"/>
        <v>0</v>
      </c>
      <c r="DN6" s="21">
        <f t="shared" si="9"/>
        <v>0</v>
      </c>
      <c r="DO6" s="21">
        <f t="shared" si="9"/>
        <v>0</v>
      </c>
      <c r="DP6" s="21">
        <f t="shared" si="9"/>
        <v>0</v>
      </c>
      <c r="DQ6" s="21">
        <f t="shared" si="9"/>
        <v>0</v>
      </c>
      <c r="DR6" s="21">
        <f t="shared" si="9"/>
        <v>0</v>
      </c>
      <c r="DS6" s="21">
        <f t="shared" si="9"/>
        <v>0</v>
      </c>
      <c r="DT6" s="21">
        <f t="shared" si="9"/>
        <v>0</v>
      </c>
      <c r="DU6" s="21">
        <f t="shared" si="9"/>
        <v>0</v>
      </c>
      <c r="DV6" s="21">
        <f t="shared" ref="DV6:EB23" si="10">+Z6-CW6</f>
        <v>10000000</v>
      </c>
      <c r="DW6" s="21">
        <f t="shared" si="10"/>
        <v>6936130</v>
      </c>
      <c r="DX6" s="21">
        <f t="shared" si="10"/>
        <v>0</v>
      </c>
      <c r="DY6" s="21">
        <f t="shared" si="10"/>
        <v>0</v>
      </c>
      <c r="DZ6" s="21">
        <f t="shared" si="10"/>
        <v>0</v>
      </c>
      <c r="EA6" s="21">
        <f t="shared" si="10"/>
        <v>0</v>
      </c>
      <c r="EB6" s="21">
        <f t="shared" si="10"/>
        <v>1600</v>
      </c>
      <c r="ED6" s="27">
        <f t="shared" ref="ED6:ED69" si="11">+G6</f>
        <v>91329417</v>
      </c>
      <c r="EE6" s="27">
        <f>+AH6+BG6</f>
        <v>91329417</v>
      </c>
      <c r="EF6" s="27">
        <f>+CF6+DE6</f>
        <v>91329417</v>
      </c>
    </row>
    <row r="7" spans="1:136" ht="51" customHeight="1" x14ac:dyDescent="0.3">
      <c r="A7" s="167"/>
      <c r="B7" s="193"/>
      <c r="C7" s="17" t="s">
        <v>51</v>
      </c>
      <c r="D7" s="18" t="s">
        <v>52</v>
      </c>
      <c r="E7" s="19">
        <v>510</v>
      </c>
      <c r="F7" s="20" t="s">
        <v>53</v>
      </c>
      <c r="G7" s="21">
        <f t="shared" si="0"/>
        <v>41670990</v>
      </c>
      <c r="H7" s="22">
        <v>40000000</v>
      </c>
      <c r="I7" s="22">
        <f t="shared" ref="I7:I23" si="12">H7-G7</f>
        <v>-1670990</v>
      </c>
      <c r="J7" s="21"/>
      <c r="K7" s="21">
        <f>30000000+4970990</f>
        <v>34970990</v>
      </c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>
        <v>6700000</v>
      </c>
      <c r="AB7" s="21"/>
      <c r="AC7" s="21"/>
      <c r="AD7" s="21"/>
      <c r="AE7" s="21"/>
      <c r="AF7" s="21"/>
      <c r="AG7" s="23">
        <f t="shared" si="1"/>
        <v>0.57146067324054461</v>
      </c>
      <c r="AH7" s="21">
        <f t="shared" si="2"/>
        <v>23813332</v>
      </c>
      <c r="AI7" s="21"/>
      <c r="AJ7" s="21">
        <v>23813332</v>
      </c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3">
        <f t="shared" ref="BF7:BF70" si="13">1-AG7</f>
        <v>0.42853932675945539</v>
      </c>
      <c r="BG7" s="21">
        <f t="shared" si="3"/>
        <v>17857658</v>
      </c>
      <c r="BH7" s="21">
        <f t="shared" si="4"/>
        <v>0</v>
      </c>
      <c r="BI7" s="21">
        <f t="shared" si="4"/>
        <v>11157658</v>
      </c>
      <c r="BJ7" s="21">
        <f t="shared" si="4"/>
        <v>0</v>
      </c>
      <c r="BK7" s="21">
        <f t="shared" si="4"/>
        <v>0</v>
      </c>
      <c r="BL7" s="21">
        <f t="shared" si="4"/>
        <v>0</v>
      </c>
      <c r="BM7" s="21">
        <f t="shared" si="4"/>
        <v>0</v>
      </c>
      <c r="BN7" s="21">
        <f t="shared" si="4"/>
        <v>0</v>
      </c>
      <c r="BO7" s="21">
        <f t="shared" si="4"/>
        <v>0</v>
      </c>
      <c r="BP7" s="21">
        <f t="shared" si="4"/>
        <v>0</v>
      </c>
      <c r="BQ7" s="21">
        <f t="shared" si="4"/>
        <v>0</v>
      </c>
      <c r="BR7" s="21">
        <f t="shared" si="4"/>
        <v>0</v>
      </c>
      <c r="BS7" s="21">
        <f t="shared" si="4"/>
        <v>0</v>
      </c>
      <c r="BT7" s="21">
        <f t="shared" si="4"/>
        <v>0</v>
      </c>
      <c r="BU7" s="21">
        <f t="shared" si="4"/>
        <v>0</v>
      </c>
      <c r="BV7" s="21">
        <f t="shared" si="4"/>
        <v>0</v>
      </c>
      <c r="BW7" s="21">
        <f t="shared" si="4"/>
        <v>0</v>
      </c>
      <c r="BX7" s="21">
        <f t="shared" si="5"/>
        <v>0</v>
      </c>
      <c r="BY7" s="21">
        <f t="shared" si="5"/>
        <v>6700000</v>
      </c>
      <c r="BZ7" s="21">
        <f t="shared" si="5"/>
        <v>0</v>
      </c>
      <c r="CA7" s="21">
        <f t="shared" si="5"/>
        <v>0</v>
      </c>
      <c r="CB7" s="21">
        <f t="shared" si="5"/>
        <v>0</v>
      </c>
      <c r="CC7" s="21">
        <f t="shared" si="5"/>
        <v>0</v>
      </c>
      <c r="CD7" s="21">
        <f t="shared" si="5"/>
        <v>0</v>
      </c>
      <c r="CE7" s="23">
        <f t="shared" si="6"/>
        <v>0.57146067324054461</v>
      </c>
      <c r="CF7" s="21">
        <f t="shared" si="7"/>
        <v>23813332</v>
      </c>
      <c r="CG7" s="21"/>
      <c r="CH7" s="21">
        <v>23813332</v>
      </c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1"/>
      <c r="CY7" s="21"/>
      <c r="CZ7" s="21"/>
      <c r="DA7" s="21"/>
      <c r="DB7" s="21"/>
      <c r="DC7" s="21"/>
      <c r="DD7" s="23">
        <f t="shared" si="8"/>
        <v>0.42853932675945539</v>
      </c>
      <c r="DE7" s="21">
        <f t="shared" ref="DE7:DE23" si="14">SUM(DF7:EB7)</f>
        <v>17857658</v>
      </c>
      <c r="DF7" s="21">
        <f t="shared" si="9"/>
        <v>0</v>
      </c>
      <c r="DG7" s="21">
        <f t="shared" si="9"/>
        <v>11157658</v>
      </c>
      <c r="DH7" s="21">
        <f t="shared" si="9"/>
        <v>0</v>
      </c>
      <c r="DI7" s="21">
        <f t="shared" si="9"/>
        <v>0</v>
      </c>
      <c r="DJ7" s="21">
        <f t="shared" si="9"/>
        <v>0</v>
      </c>
      <c r="DK7" s="21">
        <f t="shared" si="9"/>
        <v>0</v>
      </c>
      <c r="DL7" s="21">
        <f t="shared" si="9"/>
        <v>0</v>
      </c>
      <c r="DM7" s="21">
        <f t="shared" si="9"/>
        <v>0</v>
      </c>
      <c r="DN7" s="21">
        <f t="shared" si="9"/>
        <v>0</v>
      </c>
      <c r="DO7" s="21">
        <f t="shared" si="9"/>
        <v>0</v>
      </c>
      <c r="DP7" s="21">
        <f t="shared" si="9"/>
        <v>0</v>
      </c>
      <c r="DQ7" s="21">
        <f t="shared" si="9"/>
        <v>0</v>
      </c>
      <c r="DR7" s="21">
        <f t="shared" si="9"/>
        <v>0</v>
      </c>
      <c r="DS7" s="21">
        <f t="shared" si="9"/>
        <v>0</v>
      </c>
      <c r="DT7" s="21">
        <f t="shared" si="9"/>
        <v>0</v>
      </c>
      <c r="DU7" s="21">
        <f t="shared" si="9"/>
        <v>0</v>
      </c>
      <c r="DV7" s="21">
        <f t="shared" si="10"/>
        <v>0</v>
      </c>
      <c r="DW7" s="21">
        <f t="shared" si="10"/>
        <v>6700000</v>
      </c>
      <c r="DX7" s="21">
        <f t="shared" si="10"/>
        <v>0</v>
      </c>
      <c r="DY7" s="21">
        <f t="shared" si="10"/>
        <v>0</v>
      </c>
      <c r="DZ7" s="21">
        <f t="shared" si="10"/>
        <v>0</v>
      </c>
      <c r="EA7" s="21">
        <f t="shared" si="10"/>
        <v>0</v>
      </c>
      <c r="EB7" s="21">
        <f t="shared" si="10"/>
        <v>0</v>
      </c>
      <c r="ED7" s="27">
        <f t="shared" si="11"/>
        <v>41670990</v>
      </c>
      <c r="EE7" s="27">
        <f t="shared" ref="EE7:EE70" si="15">+AH7+BG7</f>
        <v>41670990</v>
      </c>
      <c r="EF7" s="27">
        <f t="shared" ref="EF7:EF70" si="16">+CF7+DE7</f>
        <v>41670990</v>
      </c>
    </row>
    <row r="8" spans="1:136" ht="60" customHeight="1" x14ac:dyDescent="0.3">
      <c r="A8" s="28"/>
      <c r="B8" s="188" t="s">
        <v>54</v>
      </c>
      <c r="C8" s="17" t="s">
        <v>55</v>
      </c>
      <c r="D8" s="29" t="s">
        <v>56</v>
      </c>
      <c r="E8" s="30">
        <v>510</v>
      </c>
      <c r="F8" s="31" t="s">
        <v>57</v>
      </c>
      <c r="G8" s="21">
        <f t="shared" si="0"/>
        <v>75740837</v>
      </c>
      <c r="H8" s="22">
        <v>15000000</v>
      </c>
      <c r="I8" s="22">
        <f t="shared" si="12"/>
        <v>-60740837</v>
      </c>
      <c r="J8" s="21"/>
      <c r="K8" s="21">
        <v>46336160</v>
      </c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>
        <v>18000000</v>
      </c>
      <c r="AA8" s="21"/>
      <c r="AB8" s="21"/>
      <c r="AC8" s="21"/>
      <c r="AD8" s="21"/>
      <c r="AE8" s="21"/>
      <c r="AF8" s="21">
        <v>11404677</v>
      </c>
      <c r="AG8" s="23">
        <f t="shared" si="1"/>
        <v>0.82034122490618899</v>
      </c>
      <c r="AH8" s="21">
        <f t="shared" si="2"/>
        <v>62133331</v>
      </c>
      <c r="AI8" s="21"/>
      <c r="AJ8" s="21">
        <f>+'[1]Acuerdo PLAN INVERSIÓN 2021'!$J$62</f>
        <v>45686160</v>
      </c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>
        <f>+'[1]Acuerdo PLAN INVERSIÓN 2021'!$AA$62</f>
        <v>16447171</v>
      </c>
      <c r="AZ8" s="21"/>
      <c r="BA8" s="21"/>
      <c r="BB8" s="21"/>
      <c r="BC8" s="21"/>
      <c r="BD8" s="21"/>
      <c r="BE8" s="21"/>
      <c r="BF8" s="23">
        <f t="shared" si="13"/>
        <v>0.17965877509381101</v>
      </c>
      <c r="BG8" s="21">
        <f t="shared" si="3"/>
        <v>13607506</v>
      </c>
      <c r="BH8" s="21">
        <f t="shared" si="4"/>
        <v>0</v>
      </c>
      <c r="BI8" s="21">
        <f t="shared" si="4"/>
        <v>650000</v>
      </c>
      <c r="BJ8" s="21">
        <f t="shared" si="4"/>
        <v>0</v>
      </c>
      <c r="BK8" s="21">
        <f t="shared" si="4"/>
        <v>0</v>
      </c>
      <c r="BL8" s="21">
        <f t="shared" si="4"/>
        <v>0</v>
      </c>
      <c r="BM8" s="21">
        <f t="shared" si="4"/>
        <v>0</v>
      </c>
      <c r="BN8" s="21">
        <f t="shared" si="4"/>
        <v>0</v>
      </c>
      <c r="BO8" s="21">
        <f t="shared" si="4"/>
        <v>0</v>
      </c>
      <c r="BP8" s="21">
        <f t="shared" si="4"/>
        <v>0</v>
      </c>
      <c r="BQ8" s="21">
        <f t="shared" si="4"/>
        <v>0</v>
      </c>
      <c r="BR8" s="21">
        <f t="shared" si="4"/>
        <v>0</v>
      </c>
      <c r="BS8" s="21">
        <f t="shared" si="4"/>
        <v>0</v>
      </c>
      <c r="BT8" s="21">
        <f t="shared" si="4"/>
        <v>0</v>
      </c>
      <c r="BU8" s="21">
        <f t="shared" si="4"/>
        <v>0</v>
      </c>
      <c r="BV8" s="21">
        <f t="shared" si="4"/>
        <v>0</v>
      </c>
      <c r="BW8" s="21">
        <f t="shared" si="4"/>
        <v>0</v>
      </c>
      <c r="BX8" s="21">
        <f t="shared" si="5"/>
        <v>1552829</v>
      </c>
      <c r="BY8" s="21">
        <f t="shared" si="5"/>
        <v>0</v>
      </c>
      <c r="BZ8" s="21">
        <f t="shared" si="5"/>
        <v>0</v>
      </c>
      <c r="CA8" s="21">
        <f t="shared" si="5"/>
        <v>0</v>
      </c>
      <c r="CB8" s="21">
        <f t="shared" si="5"/>
        <v>0</v>
      </c>
      <c r="CC8" s="21">
        <f t="shared" si="5"/>
        <v>0</v>
      </c>
      <c r="CD8" s="21">
        <f t="shared" si="5"/>
        <v>11404677</v>
      </c>
      <c r="CE8" s="23">
        <f t="shared" si="6"/>
        <v>0.82034122490618899</v>
      </c>
      <c r="CF8" s="21">
        <f t="shared" si="7"/>
        <v>62133331</v>
      </c>
      <c r="CG8" s="21"/>
      <c r="CH8" s="21">
        <f>+'[5]Acuerdo PLAN INVERSIÓN 2021'!$H$66+'[5]Acuerdo PLAN INVERSIÓN 2021'!$H$72+'[5]Acuerdo PLAN INVERSIÓN 2021'!$H$75</f>
        <v>45686160</v>
      </c>
      <c r="CI8" s="21"/>
      <c r="CJ8" s="21"/>
      <c r="CK8" s="21"/>
      <c r="CL8" s="21"/>
      <c r="CM8" s="21"/>
      <c r="CN8" s="21"/>
      <c r="CO8" s="21"/>
      <c r="CP8" s="21"/>
      <c r="CQ8" s="21"/>
      <c r="CR8" s="21"/>
      <c r="CS8" s="21"/>
      <c r="CT8" s="21"/>
      <c r="CU8" s="21"/>
      <c r="CV8" s="21"/>
      <c r="CW8" s="21">
        <f>+'[5]Acuerdo PLAN INVERSIÓN 2021'!$H$63+'[5]Acuerdo PLAN INVERSIÓN 2021'!$H$80</f>
        <v>16447171</v>
      </c>
      <c r="CX8" s="21"/>
      <c r="CY8" s="21"/>
      <c r="CZ8" s="21"/>
      <c r="DA8" s="21"/>
      <c r="DB8" s="21"/>
      <c r="DC8" s="21"/>
      <c r="DD8" s="23">
        <f t="shared" si="8"/>
        <v>0.17965877509381101</v>
      </c>
      <c r="DE8" s="21">
        <f t="shared" si="14"/>
        <v>13607506</v>
      </c>
      <c r="DF8" s="21">
        <f t="shared" si="9"/>
        <v>0</v>
      </c>
      <c r="DG8" s="21">
        <f t="shared" si="9"/>
        <v>650000</v>
      </c>
      <c r="DH8" s="21">
        <f t="shared" si="9"/>
        <v>0</v>
      </c>
      <c r="DI8" s="21">
        <f t="shared" si="9"/>
        <v>0</v>
      </c>
      <c r="DJ8" s="21">
        <f t="shared" si="9"/>
        <v>0</v>
      </c>
      <c r="DK8" s="21">
        <f t="shared" si="9"/>
        <v>0</v>
      </c>
      <c r="DL8" s="21">
        <f t="shared" si="9"/>
        <v>0</v>
      </c>
      <c r="DM8" s="21">
        <f t="shared" si="9"/>
        <v>0</v>
      </c>
      <c r="DN8" s="21">
        <f t="shared" si="9"/>
        <v>0</v>
      </c>
      <c r="DO8" s="21">
        <f t="shared" si="9"/>
        <v>0</v>
      </c>
      <c r="DP8" s="21">
        <f t="shared" si="9"/>
        <v>0</v>
      </c>
      <c r="DQ8" s="21">
        <f t="shared" si="9"/>
        <v>0</v>
      </c>
      <c r="DR8" s="21">
        <f t="shared" si="9"/>
        <v>0</v>
      </c>
      <c r="DS8" s="21">
        <f t="shared" si="9"/>
        <v>0</v>
      </c>
      <c r="DT8" s="21">
        <f t="shared" si="9"/>
        <v>0</v>
      </c>
      <c r="DU8" s="21">
        <f t="shared" si="9"/>
        <v>0</v>
      </c>
      <c r="DV8" s="21">
        <f t="shared" si="10"/>
        <v>1552829</v>
      </c>
      <c r="DW8" s="21">
        <f t="shared" si="10"/>
        <v>0</v>
      </c>
      <c r="DX8" s="21">
        <f t="shared" si="10"/>
        <v>0</v>
      </c>
      <c r="DY8" s="21">
        <f t="shared" si="10"/>
        <v>0</v>
      </c>
      <c r="DZ8" s="21">
        <f t="shared" si="10"/>
        <v>0</v>
      </c>
      <c r="EA8" s="21">
        <f t="shared" si="10"/>
        <v>0</v>
      </c>
      <c r="EB8" s="21">
        <f t="shared" si="10"/>
        <v>11404677</v>
      </c>
      <c r="ED8" s="27">
        <f t="shared" si="11"/>
        <v>75740837</v>
      </c>
      <c r="EE8" s="27">
        <f t="shared" si="15"/>
        <v>75740837</v>
      </c>
      <c r="EF8" s="27">
        <f t="shared" si="16"/>
        <v>75740837</v>
      </c>
    </row>
    <row r="9" spans="1:136" ht="48" customHeight="1" x14ac:dyDescent="0.3">
      <c r="A9" s="28"/>
      <c r="B9" s="188"/>
      <c r="C9" s="17" t="s">
        <v>58</v>
      </c>
      <c r="D9" s="32" t="s">
        <v>59</v>
      </c>
      <c r="E9" s="19">
        <v>510</v>
      </c>
      <c r="F9" s="20" t="s">
        <v>60</v>
      </c>
      <c r="G9" s="21">
        <f t="shared" si="0"/>
        <v>65666667</v>
      </c>
      <c r="H9" s="22">
        <v>20000000</v>
      </c>
      <c r="I9" s="22">
        <f t="shared" si="12"/>
        <v>-45666667</v>
      </c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>
        <v>23000000</v>
      </c>
      <c r="AA9" s="21"/>
      <c r="AB9" s="21"/>
      <c r="AC9" s="21"/>
      <c r="AD9" s="21"/>
      <c r="AE9" s="21"/>
      <c r="AF9" s="21">
        <f>16000000+10000000+10000000+16666667-10000000</f>
        <v>42666667</v>
      </c>
      <c r="AG9" s="23">
        <f t="shared" si="1"/>
        <v>0.5431472104408771</v>
      </c>
      <c r="AH9" s="21">
        <f t="shared" si="2"/>
        <v>35666667</v>
      </c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>
        <f>+'[1]Acuerdo PLAN INVERSIÓN 2021'!$AA$87</f>
        <v>5000000</v>
      </c>
      <c r="AZ9" s="21"/>
      <c r="BA9" s="21"/>
      <c r="BB9" s="21"/>
      <c r="BC9" s="21"/>
      <c r="BD9" s="21"/>
      <c r="BE9" s="21">
        <f>+'[1]Acuerdo PLAN INVERSIÓN 2021'!$AF$87</f>
        <v>30666667</v>
      </c>
      <c r="BF9" s="23">
        <f t="shared" si="13"/>
        <v>0.4568527895591229</v>
      </c>
      <c r="BG9" s="21">
        <f t="shared" si="3"/>
        <v>30000000</v>
      </c>
      <c r="BH9" s="21">
        <f t="shared" si="4"/>
        <v>0</v>
      </c>
      <c r="BI9" s="21">
        <f t="shared" si="4"/>
        <v>0</v>
      </c>
      <c r="BJ9" s="21">
        <f t="shared" si="4"/>
        <v>0</v>
      </c>
      <c r="BK9" s="21">
        <f t="shared" si="4"/>
        <v>0</v>
      </c>
      <c r="BL9" s="21">
        <f t="shared" si="4"/>
        <v>0</v>
      </c>
      <c r="BM9" s="21">
        <f t="shared" si="4"/>
        <v>0</v>
      </c>
      <c r="BN9" s="21">
        <f t="shared" si="4"/>
        <v>0</v>
      </c>
      <c r="BO9" s="21">
        <f t="shared" si="4"/>
        <v>0</v>
      </c>
      <c r="BP9" s="21">
        <f t="shared" si="4"/>
        <v>0</v>
      </c>
      <c r="BQ9" s="21">
        <f t="shared" si="4"/>
        <v>0</v>
      </c>
      <c r="BR9" s="21">
        <f t="shared" si="4"/>
        <v>0</v>
      </c>
      <c r="BS9" s="21">
        <f t="shared" si="4"/>
        <v>0</v>
      </c>
      <c r="BT9" s="21">
        <f t="shared" si="4"/>
        <v>0</v>
      </c>
      <c r="BU9" s="21">
        <f t="shared" si="4"/>
        <v>0</v>
      </c>
      <c r="BV9" s="21">
        <f t="shared" si="4"/>
        <v>0</v>
      </c>
      <c r="BW9" s="21">
        <f t="shared" si="4"/>
        <v>0</v>
      </c>
      <c r="BX9" s="21">
        <f t="shared" si="5"/>
        <v>18000000</v>
      </c>
      <c r="BY9" s="21">
        <f t="shared" si="5"/>
        <v>0</v>
      </c>
      <c r="BZ9" s="21">
        <f t="shared" si="5"/>
        <v>0</v>
      </c>
      <c r="CA9" s="21">
        <f t="shared" si="5"/>
        <v>0</v>
      </c>
      <c r="CB9" s="21">
        <f t="shared" si="5"/>
        <v>0</v>
      </c>
      <c r="CC9" s="21">
        <f t="shared" si="5"/>
        <v>0</v>
      </c>
      <c r="CD9" s="21">
        <f t="shared" si="5"/>
        <v>12000000</v>
      </c>
      <c r="CE9" s="23">
        <f t="shared" si="6"/>
        <v>0.5431472104408771</v>
      </c>
      <c r="CF9" s="21">
        <f t="shared" si="7"/>
        <v>35666667</v>
      </c>
      <c r="CG9" s="21"/>
      <c r="CH9" s="21"/>
      <c r="CI9" s="21"/>
      <c r="CJ9" s="21"/>
      <c r="CK9" s="21"/>
      <c r="CL9" s="21"/>
      <c r="CM9" s="21"/>
      <c r="CN9" s="21"/>
      <c r="CO9" s="21"/>
      <c r="CP9" s="21"/>
      <c r="CQ9" s="21"/>
      <c r="CR9" s="21"/>
      <c r="CS9" s="21"/>
      <c r="CT9" s="21"/>
      <c r="CU9" s="21"/>
      <c r="CV9" s="21"/>
      <c r="CW9" s="21">
        <f>+'[5]Acuerdo PLAN INVERSIÓN 2021'!$H$94</f>
        <v>5000000</v>
      </c>
      <c r="CX9" s="21"/>
      <c r="CY9" s="21"/>
      <c r="CZ9" s="21"/>
      <c r="DA9" s="21"/>
      <c r="DB9" s="21"/>
      <c r="DC9" s="21">
        <f>+'[1]Acuerdo PLAN INVERSIÓN 2021'!$AF$87</f>
        <v>30666667</v>
      </c>
      <c r="DD9" s="23">
        <f t="shared" si="8"/>
        <v>0.4568527895591229</v>
      </c>
      <c r="DE9" s="21">
        <f t="shared" si="14"/>
        <v>30000000</v>
      </c>
      <c r="DF9" s="21">
        <f t="shared" si="9"/>
        <v>0</v>
      </c>
      <c r="DG9" s="21">
        <f t="shared" si="9"/>
        <v>0</v>
      </c>
      <c r="DH9" s="21">
        <f t="shared" si="9"/>
        <v>0</v>
      </c>
      <c r="DI9" s="21">
        <f t="shared" si="9"/>
        <v>0</v>
      </c>
      <c r="DJ9" s="21">
        <f t="shared" si="9"/>
        <v>0</v>
      </c>
      <c r="DK9" s="21">
        <f t="shared" si="9"/>
        <v>0</v>
      </c>
      <c r="DL9" s="21">
        <f t="shared" si="9"/>
        <v>0</v>
      </c>
      <c r="DM9" s="21">
        <f t="shared" si="9"/>
        <v>0</v>
      </c>
      <c r="DN9" s="21">
        <f t="shared" si="9"/>
        <v>0</v>
      </c>
      <c r="DO9" s="21">
        <f t="shared" si="9"/>
        <v>0</v>
      </c>
      <c r="DP9" s="21">
        <f t="shared" si="9"/>
        <v>0</v>
      </c>
      <c r="DQ9" s="21">
        <f t="shared" si="9"/>
        <v>0</v>
      </c>
      <c r="DR9" s="21">
        <f t="shared" si="9"/>
        <v>0</v>
      </c>
      <c r="DS9" s="21">
        <f t="shared" si="9"/>
        <v>0</v>
      </c>
      <c r="DT9" s="21">
        <f t="shared" si="9"/>
        <v>0</v>
      </c>
      <c r="DU9" s="21">
        <f t="shared" si="9"/>
        <v>0</v>
      </c>
      <c r="DV9" s="21">
        <f t="shared" si="10"/>
        <v>18000000</v>
      </c>
      <c r="DW9" s="21">
        <f t="shared" si="10"/>
        <v>0</v>
      </c>
      <c r="DX9" s="21">
        <f t="shared" si="10"/>
        <v>0</v>
      </c>
      <c r="DY9" s="21">
        <f t="shared" si="10"/>
        <v>0</v>
      </c>
      <c r="DZ9" s="21">
        <f t="shared" si="10"/>
        <v>0</v>
      </c>
      <c r="EA9" s="21">
        <f t="shared" si="10"/>
        <v>0</v>
      </c>
      <c r="EB9" s="21">
        <f t="shared" si="10"/>
        <v>12000000</v>
      </c>
      <c r="ED9" s="27">
        <f t="shared" si="11"/>
        <v>65666667</v>
      </c>
      <c r="EE9" s="27">
        <f t="shared" si="15"/>
        <v>65666667</v>
      </c>
      <c r="EF9" s="27">
        <f t="shared" si="16"/>
        <v>65666667</v>
      </c>
    </row>
    <row r="10" spans="1:136" ht="37.5" customHeight="1" x14ac:dyDescent="0.3">
      <c r="A10" s="28"/>
      <c r="B10" s="188"/>
      <c r="C10" s="17" t="s">
        <v>61</v>
      </c>
      <c r="D10" s="18" t="s">
        <v>62</v>
      </c>
      <c r="E10" s="19">
        <v>510</v>
      </c>
      <c r="F10" s="20" t="s">
        <v>63</v>
      </c>
      <c r="G10" s="21">
        <f t="shared" si="0"/>
        <v>424000000</v>
      </c>
      <c r="H10" s="22">
        <v>28600000</v>
      </c>
      <c r="I10" s="22">
        <f t="shared" si="12"/>
        <v>-395400000</v>
      </c>
      <c r="J10" s="21"/>
      <c r="K10" s="21"/>
      <c r="L10" s="21"/>
      <c r="M10" s="21">
        <v>114000000</v>
      </c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>
        <v>10000000</v>
      </c>
      <c r="AA10" s="21"/>
      <c r="AB10" s="21"/>
      <c r="AC10" s="21"/>
      <c r="AD10" s="21"/>
      <c r="AE10" s="21">
        <v>300000000</v>
      </c>
      <c r="AF10" s="21"/>
      <c r="AG10" s="23">
        <f t="shared" si="1"/>
        <v>0</v>
      </c>
      <c r="AH10" s="21">
        <f t="shared" si="2"/>
        <v>0</v>
      </c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3">
        <f t="shared" si="13"/>
        <v>1</v>
      </c>
      <c r="BG10" s="21">
        <f t="shared" si="3"/>
        <v>424000000</v>
      </c>
      <c r="BH10" s="21">
        <f t="shared" si="4"/>
        <v>0</v>
      </c>
      <c r="BI10" s="21">
        <f t="shared" si="4"/>
        <v>0</v>
      </c>
      <c r="BJ10" s="21">
        <f t="shared" si="4"/>
        <v>0</v>
      </c>
      <c r="BK10" s="21">
        <f t="shared" si="4"/>
        <v>114000000</v>
      </c>
      <c r="BL10" s="21">
        <f t="shared" si="4"/>
        <v>0</v>
      </c>
      <c r="BM10" s="21">
        <f t="shared" si="4"/>
        <v>0</v>
      </c>
      <c r="BN10" s="21">
        <f t="shared" si="4"/>
        <v>0</v>
      </c>
      <c r="BO10" s="21">
        <f t="shared" si="4"/>
        <v>0</v>
      </c>
      <c r="BP10" s="21">
        <f t="shared" si="4"/>
        <v>0</v>
      </c>
      <c r="BQ10" s="21">
        <f t="shared" si="4"/>
        <v>0</v>
      </c>
      <c r="BR10" s="21">
        <f t="shared" si="4"/>
        <v>0</v>
      </c>
      <c r="BS10" s="21">
        <f t="shared" si="4"/>
        <v>0</v>
      </c>
      <c r="BT10" s="21">
        <f t="shared" si="4"/>
        <v>0</v>
      </c>
      <c r="BU10" s="21">
        <f t="shared" si="4"/>
        <v>0</v>
      </c>
      <c r="BV10" s="21">
        <f t="shared" si="4"/>
        <v>0</v>
      </c>
      <c r="BW10" s="21">
        <f t="shared" si="4"/>
        <v>0</v>
      </c>
      <c r="BX10" s="21">
        <f t="shared" si="5"/>
        <v>10000000</v>
      </c>
      <c r="BY10" s="21">
        <f t="shared" si="5"/>
        <v>0</v>
      </c>
      <c r="BZ10" s="21">
        <f t="shared" si="5"/>
        <v>0</v>
      </c>
      <c r="CA10" s="21">
        <f t="shared" si="5"/>
        <v>0</v>
      </c>
      <c r="CB10" s="21">
        <f t="shared" si="5"/>
        <v>0</v>
      </c>
      <c r="CC10" s="21">
        <f t="shared" si="5"/>
        <v>300000000</v>
      </c>
      <c r="CD10" s="21">
        <f t="shared" si="5"/>
        <v>0</v>
      </c>
      <c r="CE10" s="23">
        <f t="shared" si="6"/>
        <v>0</v>
      </c>
      <c r="CF10" s="21">
        <f t="shared" si="7"/>
        <v>0</v>
      </c>
      <c r="CG10" s="21"/>
      <c r="CH10" s="21"/>
      <c r="CI10" s="21"/>
      <c r="CJ10" s="21"/>
      <c r="CK10" s="21"/>
      <c r="CL10" s="21"/>
      <c r="CM10" s="21"/>
      <c r="CN10" s="21"/>
      <c r="CO10" s="21"/>
      <c r="CP10" s="21"/>
      <c r="CQ10" s="21"/>
      <c r="CR10" s="21"/>
      <c r="CS10" s="21"/>
      <c r="CT10" s="21"/>
      <c r="CU10" s="21"/>
      <c r="CV10" s="21"/>
      <c r="CW10" s="21"/>
      <c r="CX10" s="21"/>
      <c r="CY10" s="21"/>
      <c r="CZ10" s="21"/>
      <c r="DA10" s="21"/>
      <c r="DB10" s="21"/>
      <c r="DC10" s="21"/>
      <c r="DD10" s="23">
        <f t="shared" si="8"/>
        <v>1</v>
      </c>
      <c r="DE10" s="21">
        <f t="shared" si="14"/>
        <v>424000000</v>
      </c>
      <c r="DF10" s="21">
        <f t="shared" si="9"/>
        <v>0</v>
      </c>
      <c r="DG10" s="21">
        <f t="shared" si="9"/>
        <v>0</v>
      </c>
      <c r="DH10" s="21">
        <f t="shared" si="9"/>
        <v>0</v>
      </c>
      <c r="DI10" s="21">
        <f t="shared" si="9"/>
        <v>114000000</v>
      </c>
      <c r="DJ10" s="21">
        <f t="shared" si="9"/>
        <v>0</v>
      </c>
      <c r="DK10" s="21">
        <f t="shared" si="9"/>
        <v>0</v>
      </c>
      <c r="DL10" s="21">
        <f t="shared" si="9"/>
        <v>0</v>
      </c>
      <c r="DM10" s="21">
        <f t="shared" si="9"/>
        <v>0</v>
      </c>
      <c r="DN10" s="21">
        <f t="shared" si="9"/>
        <v>0</v>
      </c>
      <c r="DO10" s="21">
        <f t="shared" si="9"/>
        <v>0</v>
      </c>
      <c r="DP10" s="21">
        <f t="shared" si="9"/>
        <v>0</v>
      </c>
      <c r="DQ10" s="21">
        <f t="shared" si="9"/>
        <v>0</v>
      </c>
      <c r="DR10" s="21">
        <f t="shared" si="9"/>
        <v>0</v>
      </c>
      <c r="DS10" s="21">
        <f t="shared" si="9"/>
        <v>0</v>
      </c>
      <c r="DT10" s="21">
        <f t="shared" si="9"/>
        <v>0</v>
      </c>
      <c r="DU10" s="21">
        <f t="shared" si="9"/>
        <v>0</v>
      </c>
      <c r="DV10" s="21">
        <f t="shared" si="10"/>
        <v>10000000</v>
      </c>
      <c r="DW10" s="21">
        <f t="shared" si="10"/>
        <v>0</v>
      </c>
      <c r="DX10" s="21">
        <f t="shared" si="10"/>
        <v>0</v>
      </c>
      <c r="DY10" s="21">
        <f t="shared" si="10"/>
        <v>0</v>
      </c>
      <c r="DZ10" s="21">
        <f t="shared" si="10"/>
        <v>0</v>
      </c>
      <c r="EA10" s="21">
        <f t="shared" si="10"/>
        <v>300000000</v>
      </c>
      <c r="EB10" s="21">
        <f t="shared" si="10"/>
        <v>0</v>
      </c>
      <c r="ED10" s="27">
        <f t="shared" si="11"/>
        <v>424000000</v>
      </c>
      <c r="EE10" s="27">
        <f t="shared" si="15"/>
        <v>424000000</v>
      </c>
      <c r="EF10" s="27">
        <f t="shared" si="16"/>
        <v>424000000</v>
      </c>
    </row>
    <row r="11" spans="1:136" ht="31.5" customHeight="1" x14ac:dyDescent="0.3">
      <c r="A11" s="28"/>
      <c r="B11" s="188"/>
      <c r="C11" s="17" t="s">
        <v>64</v>
      </c>
      <c r="D11" s="18" t="s">
        <v>65</v>
      </c>
      <c r="E11" s="19">
        <v>510</v>
      </c>
      <c r="F11" s="20" t="s">
        <v>63</v>
      </c>
      <c r="G11" s="21">
        <f t="shared" si="0"/>
        <v>132908964</v>
      </c>
      <c r="H11" s="22">
        <v>45000000</v>
      </c>
      <c r="I11" s="22">
        <f t="shared" si="12"/>
        <v>-87908964</v>
      </c>
      <c r="J11" s="21"/>
      <c r="K11" s="21">
        <f>301000</f>
        <v>301000</v>
      </c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>
        <v>10000000</v>
      </c>
      <c r="AA11" s="21"/>
      <c r="AB11" s="21"/>
      <c r="AC11" s="21"/>
      <c r="AD11" s="21"/>
      <c r="AE11" s="21">
        <f>122607964</f>
        <v>122607964</v>
      </c>
      <c r="AF11" s="21"/>
      <c r="AG11" s="23">
        <f t="shared" si="1"/>
        <v>0</v>
      </c>
      <c r="AH11" s="21">
        <f t="shared" si="2"/>
        <v>0</v>
      </c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3">
        <f t="shared" si="13"/>
        <v>1</v>
      </c>
      <c r="BG11" s="21">
        <f t="shared" si="3"/>
        <v>132908964</v>
      </c>
      <c r="BH11" s="21">
        <f t="shared" si="4"/>
        <v>0</v>
      </c>
      <c r="BI11" s="21">
        <f t="shared" si="4"/>
        <v>301000</v>
      </c>
      <c r="BJ11" s="21">
        <f t="shared" si="4"/>
        <v>0</v>
      </c>
      <c r="BK11" s="21">
        <f t="shared" si="4"/>
        <v>0</v>
      </c>
      <c r="BL11" s="21">
        <f t="shared" si="4"/>
        <v>0</v>
      </c>
      <c r="BM11" s="21">
        <f t="shared" si="4"/>
        <v>0</v>
      </c>
      <c r="BN11" s="21">
        <f t="shared" si="4"/>
        <v>0</v>
      </c>
      <c r="BO11" s="21">
        <f t="shared" si="4"/>
        <v>0</v>
      </c>
      <c r="BP11" s="21">
        <f t="shared" si="4"/>
        <v>0</v>
      </c>
      <c r="BQ11" s="21">
        <f t="shared" si="4"/>
        <v>0</v>
      </c>
      <c r="BR11" s="21">
        <f t="shared" si="4"/>
        <v>0</v>
      </c>
      <c r="BS11" s="21">
        <f t="shared" si="4"/>
        <v>0</v>
      </c>
      <c r="BT11" s="21">
        <f t="shared" si="4"/>
        <v>0</v>
      </c>
      <c r="BU11" s="21">
        <f t="shared" si="4"/>
        <v>0</v>
      </c>
      <c r="BV11" s="21">
        <f t="shared" si="4"/>
        <v>0</v>
      </c>
      <c r="BW11" s="21">
        <f t="shared" si="4"/>
        <v>0</v>
      </c>
      <c r="BX11" s="21">
        <f t="shared" si="5"/>
        <v>10000000</v>
      </c>
      <c r="BY11" s="21">
        <f t="shared" si="5"/>
        <v>0</v>
      </c>
      <c r="BZ11" s="21">
        <f t="shared" si="5"/>
        <v>0</v>
      </c>
      <c r="CA11" s="21">
        <f t="shared" si="5"/>
        <v>0</v>
      </c>
      <c r="CB11" s="21">
        <f t="shared" si="5"/>
        <v>0</v>
      </c>
      <c r="CC11" s="21">
        <f t="shared" si="5"/>
        <v>122607964</v>
      </c>
      <c r="CD11" s="21">
        <f t="shared" si="5"/>
        <v>0</v>
      </c>
      <c r="CE11" s="23">
        <f t="shared" si="6"/>
        <v>0</v>
      </c>
      <c r="CF11" s="21">
        <f t="shared" si="7"/>
        <v>0</v>
      </c>
      <c r="CG11" s="21"/>
      <c r="CH11" s="21"/>
      <c r="CI11" s="21"/>
      <c r="CJ11" s="21"/>
      <c r="CK11" s="21"/>
      <c r="CL11" s="21"/>
      <c r="CM11" s="21"/>
      <c r="CN11" s="21"/>
      <c r="CO11" s="21"/>
      <c r="CP11" s="21"/>
      <c r="CQ11" s="21"/>
      <c r="CR11" s="21"/>
      <c r="CS11" s="21"/>
      <c r="CT11" s="21"/>
      <c r="CU11" s="21"/>
      <c r="CV11" s="21"/>
      <c r="CW11" s="21"/>
      <c r="CX11" s="21"/>
      <c r="CY11" s="21"/>
      <c r="CZ11" s="21"/>
      <c r="DA11" s="21"/>
      <c r="DB11" s="21"/>
      <c r="DC11" s="21"/>
      <c r="DD11" s="23">
        <f t="shared" si="8"/>
        <v>1</v>
      </c>
      <c r="DE11" s="21">
        <f t="shared" si="14"/>
        <v>132908964</v>
      </c>
      <c r="DF11" s="21">
        <f t="shared" si="9"/>
        <v>0</v>
      </c>
      <c r="DG11" s="21">
        <f t="shared" si="9"/>
        <v>301000</v>
      </c>
      <c r="DH11" s="21">
        <f t="shared" si="9"/>
        <v>0</v>
      </c>
      <c r="DI11" s="21">
        <f t="shared" si="9"/>
        <v>0</v>
      </c>
      <c r="DJ11" s="21">
        <f t="shared" si="9"/>
        <v>0</v>
      </c>
      <c r="DK11" s="21">
        <f t="shared" si="9"/>
        <v>0</v>
      </c>
      <c r="DL11" s="21">
        <f t="shared" si="9"/>
        <v>0</v>
      </c>
      <c r="DM11" s="21">
        <f t="shared" si="9"/>
        <v>0</v>
      </c>
      <c r="DN11" s="21">
        <f t="shared" si="9"/>
        <v>0</v>
      </c>
      <c r="DO11" s="21">
        <f t="shared" si="9"/>
        <v>0</v>
      </c>
      <c r="DP11" s="21">
        <f t="shared" si="9"/>
        <v>0</v>
      </c>
      <c r="DQ11" s="21">
        <f t="shared" si="9"/>
        <v>0</v>
      </c>
      <c r="DR11" s="21">
        <f t="shared" si="9"/>
        <v>0</v>
      </c>
      <c r="DS11" s="21">
        <f t="shared" si="9"/>
        <v>0</v>
      </c>
      <c r="DT11" s="21">
        <f t="shared" si="9"/>
        <v>0</v>
      </c>
      <c r="DU11" s="21">
        <f t="shared" si="9"/>
        <v>0</v>
      </c>
      <c r="DV11" s="21">
        <f t="shared" si="10"/>
        <v>10000000</v>
      </c>
      <c r="DW11" s="21">
        <f t="shared" si="10"/>
        <v>0</v>
      </c>
      <c r="DX11" s="21">
        <f t="shared" si="10"/>
        <v>0</v>
      </c>
      <c r="DY11" s="21">
        <f t="shared" si="10"/>
        <v>0</v>
      </c>
      <c r="DZ11" s="21">
        <f t="shared" si="10"/>
        <v>0</v>
      </c>
      <c r="EA11" s="21">
        <f t="shared" si="10"/>
        <v>122607964</v>
      </c>
      <c r="EB11" s="21">
        <f t="shared" si="10"/>
        <v>0</v>
      </c>
      <c r="ED11" s="27">
        <f t="shared" si="11"/>
        <v>132908964</v>
      </c>
      <c r="EE11" s="27">
        <f t="shared" si="15"/>
        <v>132908964</v>
      </c>
      <c r="EF11" s="27">
        <f t="shared" si="16"/>
        <v>132908964</v>
      </c>
    </row>
    <row r="12" spans="1:136" ht="20.399999999999999" customHeight="1" x14ac:dyDescent="0.3">
      <c r="A12" s="28"/>
      <c r="B12" s="189" t="s">
        <v>66</v>
      </c>
      <c r="C12" s="33" t="s">
        <v>67</v>
      </c>
      <c r="D12" s="18" t="s">
        <v>68</v>
      </c>
      <c r="E12" s="19">
        <v>310</v>
      </c>
      <c r="F12" s="20" t="s">
        <v>63</v>
      </c>
      <c r="G12" s="21">
        <f t="shared" si="0"/>
        <v>0</v>
      </c>
      <c r="H12" s="22">
        <v>15000000</v>
      </c>
      <c r="I12" s="22">
        <f t="shared" si="12"/>
        <v>15000000</v>
      </c>
      <c r="J12" s="21"/>
      <c r="K12" s="21"/>
      <c r="L12" s="21"/>
      <c r="M12" s="21">
        <f>150000000-150000000</f>
        <v>0</v>
      </c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3" t="e">
        <f t="shared" si="1"/>
        <v>#DIV/0!</v>
      </c>
      <c r="AH12" s="21">
        <f t="shared" si="2"/>
        <v>0</v>
      </c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3" t="e">
        <f t="shared" si="13"/>
        <v>#DIV/0!</v>
      </c>
      <c r="BG12" s="21">
        <f t="shared" si="3"/>
        <v>0</v>
      </c>
      <c r="BH12" s="21">
        <f t="shared" si="4"/>
        <v>0</v>
      </c>
      <c r="BI12" s="21">
        <f t="shared" si="4"/>
        <v>0</v>
      </c>
      <c r="BJ12" s="21">
        <f t="shared" si="4"/>
        <v>0</v>
      </c>
      <c r="BK12" s="21">
        <f t="shared" si="4"/>
        <v>0</v>
      </c>
      <c r="BL12" s="21">
        <f t="shared" si="4"/>
        <v>0</v>
      </c>
      <c r="BM12" s="21">
        <f t="shared" si="4"/>
        <v>0</v>
      </c>
      <c r="BN12" s="21">
        <f t="shared" si="4"/>
        <v>0</v>
      </c>
      <c r="BO12" s="21">
        <f t="shared" si="4"/>
        <v>0</v>
      </c>
      <c r="BP12" s="21">
        <f t="shared" si="4"/>
        <v>0</v>
      </c>
      <c r="BQ12" s="21">
        <f t="shared" si="4"/>
        <v>0</v>
      </c>
      <c r="BR12" s="21">
        <f t="shared" si="4"/>
        <v>0</v>
      </c>
      <c r="BS12" s="21">
        <f t="shared" si="4"/>
        <v>0</v>
      </c>
      <c r="BT12" s="21">
        <f t="shared" si="4"/>
        <v>0</v>
      </c>
      <c r="BU12" s="21">
        <f t="shared" si="4"/>
        <v>0</v>
      </c>
      <c r="BV12" s="21">
        <f t="shared" si="4"/>
        <v>0</v>
      </c>
      <c r="BW12" s="21">
        <f t="shared" si="4"/>
        <v>0</v>
      </c>
      <c r="BX12" s="21">
        <f t="shared" si="5"/>
        <v>0</v>
      </c>
      <c r="BY12" s="21">
        <f t="shared" si="5"/>
        <v>0</v>
      </c>
      <c r="BZ12" s="21">
        <f t="shared" si="5"/>
        <v>0</v>
      </c>
      <c r="CA12" s="21">
        <f t="shared" si="5"/>
        <v>0</v>
      </c>
      <c r="CB12" s="21">
        <f t="shared" si="5"/>
        <v>0</v>
      </c>
      <c r="CC12" s="21">
        <f t="shared" si="5"/>
        <v>0</v>
      </c>
      <c r="CD12" s="21">
        <f t="shared" si="5"/>
        <v>0</v>
      </c>
      <c r="CE12" s="23" t="e">
        <f t="shared" si="6"/>
        <v>#DIV/0!</v>
      </c>
      <c r="CF12" s="21">
        <f t="shared" si="7"/>
        <v>0</v>
      </c>
      <c r="CG12" s="21"/>
      <c r="CH12" s="21"/>
      <c r="CI12" s="21"/>
      <c r="CJ12" s="21"/>
      <c r="CK12" s="21"/>
      <c r="CL12" s="21"/>
      <c r="CM12" s="21"/>
      <c r="CN12" s="21"/>
      <c r="CO12" s="21"/>
      <c r="CP12" s="21"/>
      <c r="CQ12" s="21"/>
      <c r="CR12" s="21"/>
      <c r="CS12" s="21"/>
      <c r="CT12" s="21"/>
      <c r="CU12" s="21"/>
      <c r="CV12" s="21"/>
      <c r="CW12" s="21"/>
      <c r="CX12" s="21"/>
      <c r="CY12" s="21"/>
      <c r="CZ12" s="21"/>
      <c r="DA12" s="21"/>
      <c r="DB12" s="21"/>
      <c r="DC12" s="21"/>
      <c r="DD12" s="23" t="e">
        <f t="shared" si="8"/>
        <v>#DIV/0!</v>
      </c>
      <c r="DE12" s="21">
        <f t="shared" si="14"/>
        <v>0</v>
      </c>
      <c r="DF12" s="21">
        <f t="shared" si="9"/>
        <v>0</v>
      </c>
      <c r="DG12" s="21">
        <f t="shared" si="9"/>
        <v>0</v>
      </c>
      <c r="DH12" s="21">
        <f t="shared" si="9"/>
        <v>0</v>
      </c>
      <c r="DI12" s="21">
        <f t="shared" si="9"/>
        <v>0</v>
      </c>
      <c r="DJ12" s="21">
        <f t="shared" si="9"/>
        <v>0</v>
      </c>
      <c r="DK12" s="21">
        <f t="shared" si="9"/>
        <v>0</v>
      </c>
      <c r="DL12" s="21">
        <f t="shared" si="9"/>
        <v>0</v>
      </c>
      <c r="DM12" s="21">
        <f t="shared" si="9"/>
        <v>0</v>
      </c>
      <c r="DN12" s="21">
        <f t="shared" si="9"/>
        <v>0</v>
      </c>
      <c r="DO12" s="21">
        <f t="shared" si="9"/>
        <v>0</v>
      </c>
      <c r="DP12" s="21">
        <f t="shared" si="9"/>
        <v>0</v>
      </c>
      <c r="DQ12" s="21">
        <f t="shared" si="9"/>
        <v>0</v>
      </c>
      <c r="DR12" s="21">
        <f t="shared" si="9"/>
        <v>0</v>
      </c>
      <c r="DS12" s="21">
        <f t="shared" si="9"/>
        <v>0</v>
      </c>
      <c r="DT12" s="21">
        <f t="shared" si="9"/>
        <v>0</v>
      </c>
      <c r="DU12" s="21">
        <f t="shared" si="9"/>
        <v>0</v>
      </c>
      <c r="DV12" s="21">
        <f t="shared" si="10"/>
        <v>0</v>
      </c>
      <c r="DW12" s="21">
        <f t="shared" si="10"/>
        <v>0</v>
      </c>
      <c r="DX12" s="21">
        <f t="shared" si="10"/>
        <v>0</v>
      </c>
      <c r="DY12" s="21">
        <f t="shared" si="10"/>
        <v>0</v>
      </c>
      <c r="DZ12" s="21">
        <f t="shared" si="10"/>
        <v>0</v>
      </c>
      <c r="EA12" s="21">
        <f t="shared" si="10"/>
        <v>0</v>
      </c>
      <c r="EB12" s="21">
        <f t="shared" si="10"/>
        <v>0</v>
      </c>
      <c r="ED12" s="27">
        <f t="shared" si="11"/>
        <v>0</v>
      </c>
      <c r="EE12" s="27">
        <f t="shared" si="15"/>
        <v>0</v>
      </c>
      <c r="EF12" s="27">
        <f t="shared" si="16"/>
        <v>0</v>
      </c>
    </row>
    <row r="13" spans="1:136" ht="22.5" customHeight="1" x14ac:dyDescent="0.3">
      <c r="A13" s="28"/>
      <c r="B13" s="190"/>
      <c r="C13" s="33" t="s">
        <v>69</v>
      </c>
      <c r="D13" s="29" t="s">
        <v>70</v>
      </c>
      <c r="E13" s="19">
        <v>310</v>
      </c>
      <c r="F13" s="20" t="s">
        <v>63</v>
      </c>
      <c r="G13" s="21">
        <f t="shared" si="0"/>
        <v>717909418</v>
      </c>
      <c r="H13" s="22">
        <v>1329277636</v>
      </c>
      <c r="I13" s="22">
        <f t="shared" si="12"/>
        <v>611368218</v>
      </c>
      <c r="J13" s="21"/>
      <c r="K13" s="21">
        <v>100000000</v>
      </c>
      <c r="L13" s="21"/>
      <c r="M13" s="21">
        <f>328050814+150000000</f>
        <v>478050814</v>
      </c>
      <c r="N13" s="21"/>
      <c r="O13" s="21"/>
      <c r="P13" s="21"/>
      <c r="Q13" s="21"/>
      <c r="R13" s="21"/>
      <c r="S13" s="21"/>
      <c r="T13" s="21"/>
      <c r="U13" s="21">
        <f>21358604</f>
        <v>21358604</v>
      </c>
      <c r="V13" s="21"/>
      <c r="W13" s="21"/>
      <c r="X13" s="21"/>
      <c r="Y13" s="21"/>
      <c r="Z13" s="21">
        <v>100000000</v>
      </c>
      <c r="AA13" s="21"/>
      <c r="AB13" s="21"/>
      <c r="AC13" s="21"/>
      <c r="AD13" s="21"/>
      <c r="AE13" s="21"/>
      <c r="AF13" s="21">
        <f>15000000+8000000-4500000</f>
        <v>18500000</v>
      </c>
      <c r="AG13" s="23">
        <f t="shared" si="1"/>
        <v>0.85318775272007918</v>
      </c>
      <c r="AH13" s="21">
        <f t="shared" si="2"/>
        <v>612511523</v>
      </c>
      <c r="AI13" s="21"/>
      <c r="AJ13" s="21">
        <f>+'[1]Acuerdo PLAN INVERSIÓN 2021'!$J$138</f>
        <v>69265745</v>
      </c>
      <c r="AK13" s="21"/>
      <c r="AL13" s="21">
        <f>+'[1]Acuerdo PLAN INVERSIÓN 2021'!$M$138</f>
        <v>447284183</v>
      </c>
      <c r="AM13" s="21"/>
      <c r="AN13" s="21"/>
      <c r="AO13" s="21"/>
      <c r="AP13" s="21"/>
      <c r="AQ13" s="21"/>
      <c r="AR13" s="21"/>
      <c r="AS13" s="21"/>
      <c r="AT13" s="21">
        <f>+'[1]Acuerdo PLAN INVERSIÓN 2021'!$O$138</f>
        <v>18174807</v>
      </c>
      <c r="AU13" s="21"/>
      <c r="AV13" s="21"/>
      <c r="AW13" s="21"/>
      <c r="AX13" s="21"/>
      <c r="AY13" s="21">
        <f>+'[1]Acuerdo PLAN INVERSIÓN 2021'!$AA$138</f>
        <v>59286788</v>
      </c>
      <c r="AZ13" s="21"/>
      <c r="BA13" s="21"/>
      <c r="BB13" s="21"/>
      <c r="BC13" s="21"/>
      <c r="BD13" s="21"/>
      <c r="BE13" s="21">
        <f>+'[6]Acuerdo PLAN INVERSIÓN 2021'!$AF$86+'[7]Acuerdo PLAN INVERSIÓN 2021'!$G$154</f>
        <v>18500000</v>
      </c>
      <c r="BF13" s="23">
        <f t="shared" si="13"/>
        <v>0.14681224727992082</v>
      </c>
      <c r="BG13" s="21">
        <f t="shared" si="3"/>
        <v>105397895</v>
      </c>
      <c r="BH13" s="21">
        <f t="shared" si="4"/>
        <v>0</v>
      </c>
      <c r="BI13" s="21">
        <f t="shared" si="4"/>
        <v>30734255</v>
      </c>
      <c r="BJ13" s="21">
        <f t="shared" si="4"/>
        <v>0</v>
      </c>
      <c r="BK13" s="21">
        <f t="shared" si="4"/>
        <v>30766631</v>
      </c>
      <c r="BL13" s="21">
        <f t="shared" si="4"/>
        <v>0</v>
      </c>
      <c r="BM13" s="21">
        <f t="shared" si="4"/>
        <v>0</v>
      </c>
      <c r="BN13" s="21">
        <f t="shared" si="4"/>
        <v>0</v>
      </c>
      <c r="BO13" s="21">
        <f t="shared" si="4"/>
        <v>0</v>
      </c>
      <c r="BP13" s="21">
        <f t="shared" si="4"/>
        <v>0</v>
      </c>
      <c r="BQ13" s="21">
        <f t="shared" si="4"/>
        <v>0</v>
      </c>
      <c r="BR13" s="21">
        <f t="shared" si="4"/>
        <v>0</v>
      </c>
      <c r="BS13" s="21">
        <f t="shared" si="4"/>
        <v>3183797</v>
      </c>
      <c r="BT13" s="21">
        <f t="shared" si="4"/>
        <v>0</v>
      </c>
      <c r="BU13" s="21">
        <f t="shared" si="4"/>
        <v>0</v>
      </c>
      <c r="BV13" s="21">
        <f t="shared" si="4"/>
        <v>0</v>
      </c>
      <c r="BW13" s="21">
        <f t="shared" si="4"/>
        <v>0</v>
      </c>
      <c r="BX13" s="21">
        <f t="shared" si="5"/>
        <v>40713212</v>
      </c>
      <c r="BY13" s="21">
        <f t="shared" si="5"/>
        <v>0</v>
      </c>
      <c r="BZ13" s="21">
        <f t="shared" si="5"/>
        <v>0</v>
      </c>
      <c r="CA13" s="21">
        <f t="shared" si="5"/>
        <v>0</v>
      </c>
      <c r="CB13" s="21">
        <f t="shared" si="5"/>
        <v>0</v>
      </c>
      <c r="CC13" s="21">
        <f t="shared" si="5"/>
        <v>0</v>
      </c>
      <c r="CD13" s="21">
        <f t="shared" si="5"/>
        <v>0</v>
      </c>
      <c r="CE13" s="23">
        <f t="shared" si="6"/>
        <v>0.85318775272007918</v>
      </c>
      <c r="CF13" s="21">
        <f t="shared" si="7"/>
        <v>612511523</v>
      </c>
      <c r="CG13" s="21"/>
      <c r="CH13" s="21">
        <f>+'[1]Acuerdo PLAN INVERSIÓN 2021'!$J$138</f>
        <v>69265745</v>
      </c>
      <c r="CI13" s="21"/>
      <c r="CJ13" s="21">
        <f>+'[1]Acuerdo PLAN INVERSIÓN 2021'!$M$138</f>
        <v>447284183</v>
      </c>
      <c r="CK13" s="21"/>
      <c r="CL13" s="21"/>
      <c r="CM13" s="21"/>
      <c r="CN13" s="21"/>
      <c r="CO13" s="21"/>
      <c r="CP13" s="21"/>
      <c r="CQ13" s="21"/>
      <c r="CR13" s="21">
        <f>+'[5]Acuerdo PLAN INVERSIÓN 2021'!$H$177+'[5]Acuerdo PLAN INVERSIÓN 2021'!$H$181</f>
        <v>18174807</v>
      </c>
      <c r="CS13" s="21"/>
      <c r="CT13" s="21"/>
      <c r="CU13" s="21"/>
      <c r="CV13" s="21"/>
      <c r="CW13" s="21">
        <f>+'[5]Acuerdo PLAN INVERSIÓN 2021'!$H$155</f>
        <v>59286788</v>
      </c>
      <c r="CX13" s="21"/>
      <c r="CY13" s="21"/>
      <c r="CZ13" s="21"/>
      <c r="DA13" s="21"/>
      <c r="DB13" s="21"/>
      <c r="DC13" s="21">
        <f>+'[5]Acuerdo PLAN INVERSIÓN 2021'!$H$169+'[5]Acuerdo PLAN INVERSIÓN 2021'!$H$174+'[5]Acuerdo PLAN INVERSIÓN 2021'!$H$187</f>
        <v>18500000</v>
      </c>
      <c r="DD13" s="23">
        <f t="shared" si="8"/>
        <v>0.14681224727992082</v>
      </c>
      <c r="DE13" s="21">
        <f t="shared" si="14"/>
        <v>105397895</v>
      </c>
      <c r="DF13" s="21">
        <f t="shared" si="9"/>
        <v>0</v>
      </c>
      <c r="DG13" s="21">
        <f t="shared" si="9"/>
        <v>30734255</v>
      </c>
      <c r="DH13" s="21">
        <f t="shared" si="9"/>
        <v>0</v>
      </c>
      <c r="DI13" s="21">
        <f t="shared" si="9"/>
        <v>30766631</v>
      </c>
      <c r="DJ13" s="21">
        <f t="shared" si="9"/>
        <v>0</v>
      </c>
      <c r="DK13" s="21">
        <f t="shared" si="9"/>
        <v>0</v>
      </c>
      <c r="DL13" s="21">
        <f t="shared" si="9"/>
        <v>0</v>
      </c>
      <c r="DM13" s="21">
        <f t="shared" si="9"/>
        <v>0</v>
      </c>
      <c r="DN13" s="21">
        <f t="shared" si="9"/>
        <v>0</v>
      </c>
      <c r="DO13" s="21">
        <f t="shared" si="9"/>
        <v>0</v>
      </c>
      <c r="DP13" s="21">
        <f t="shared" si="9"/>
        <v>0</v>
      </c>
      <c r="DQ13" s="21">
        <f t="shared" si="9"/>
        <v>3183797</v>
      </c>
      <c r="DR13" s="21">
        <f t="shared" si="9"/>
        <v>0</v>
      </c>
      <c r="DS13" s="21">
        <f t="shared" si="9"/>
        <v>0</v>
      </c>
      <c r="DT13" s="21">
        <f t="shared" si="9"/>
        <v>0</v>
      </c>
      <c r="DU13" s="21">
        <f t="shared" si="9"/>
        <v>0</v>
      </c>
      <c r="DV13" s="21">
        <f t="shared" si="10"/>
        <v>40713212</v>
      </c>
      <c r="DW13" s="21">
        <f t="shared" si="10"/>
        <v>0</v>
      </c>
      <c r="DX13" s="21">
        <f t="shared" si="10"/>
        <v>0</v>
      </c>
      <c r="DY13" s="21">
        <f t="shared" si="10"/>
        <v>0</v>
      </c>
      <c r="DZ13" s="21">
        <f t="shared" si="10"/>
        <v>0</v>
      </c>
      <c r="EA13" s="21">
        <f t="shared" si="10"/>
        <v>0</v>
      </c>
      <c r="EB13" s="21">
        <f t="shared" si="10"/>
        <v>0</v>
      </c>
      <c r="ED13" s="27">
        <f t="shared" si="11"/>
        <v>717909418</v>
      </c>
      <c r="EE13" s="27">
        <f t="shared" si="15"/>
        <v>717909418</v>
      </c>
      <c r="EF13" s="27">
        <f t="shared" si="16"/>
        <v>717909418</v>
      </c>
    </row>
    <row r="14" spans="1:136" ht="26.25" customHeight="1" x14ac:dyDescent="0.3">
      <c r="A14" s="28"/>
      <c r="B14" s="190"/>
      <c r="C14" s="17" t="s">
        <v>71</v>
      </c>
      <c r="D14" s="29" t="s">
        <v>72</v>
      </c>
      <c r="E14" s="19">
        <v>310</v>
      </c>
      <c r="F14" s="20" t="s">
        <v>73</v>
      </c>
      <c r="G14" s="21">
        <f t="shared" si="0"/>
        <v>50000000</v>
      </c>
      <c r="H14" s="22">
        <v>90000000</v>
      </c>
      <c r="I14" s="22">
        <f t="shared" si="12"/>
        <v>40000000</v>
      </c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>
        <v>50000000</v>
      </c>
      <c r="AA14" s="21"/>
      <c r="AB14" s="21"/>
      <c r="AC14" s="21"/>
      <c r="AD14" s="21"/>
      <c r="AE14" s="21"/>
      <c r="AF14" s="21">
        <f>8000000-8000000</f>
        <v>0</v>
      </c>
      <c r="AG14" s="23">
        <f t="shared" si="1"/>
        <v>0.17122870000000001</v>
      </c>
      <c r="AH14" s="21">
        <f t="shared" si="2"/>
        <v>8561435</v>
      </c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>
        <f>+'[1]Acuerdo PLAN INVERSIÓN 2021'!$AA$237</f>
        <v>8561435</v>
      </c>
      <c r="AZ14" s="21"/>
      <c r="BA14" s="21"/>
      <c r="BB14" s="21"/>
      <c r="BC14" s="21"/>
      <c r="BD14" s="21"/>
      <c r="BE14" s="21"/>
      <c r="BF14" s="23">
        <f t="shared" si="13"/>
        <v>0.82877129999999999</v>
      </c>
      <c r="BG14" s="21">
        <f t="shared" si="3"/>
        <v>41438565</v>
      </c>
      <c r="BH14" s="21">
        <f t="shared" si="4"/>
        <v>0</v>
      </c>
      <c r="BI14" s="21">
        <f t="shared" si="4"/>
        <v>0</v>
      </c>
      <c r="BJ14" s="21">
        <f t="shared" si="4"/>
        <v>0</v>
      </c>
      <c r="BK14" s="21">
        <f t="shared" si="4"/>
        <v>0</v>
      </c>
      <c r="BL14" s="21">
        <f t="shared" si="4"/>
        <v>0</v>
      </c>
      <c r="BM14" s="21">
        <f t="shared" si="4"/>
        <v>0</v>
      </c>
      <c r="BN14" s="21">
        <f t="shared" si="4"/>
        <v>0</v>
      </c>
      <c r="BO14" s="21">
        <f t="shared" si="4"/>
        <v>0</v>
      </c>
      <c r="BP14" s="21">
        <f t="shared" si="4"/>
        <v>0</v>
      </c>
      <c r="BQ14" s="21">
        <f t="shared" si="4"/>
        <v>0</v>
      </c>
      <c r="BR14" s="21">
        <f t="shared" si="4"/>
        <v>0</v>
      </c>
      <c r="BS14" s="21">
        <f t="shared" si="4"/>
        <v>0</v>
      </c>
      <c r="BT14" s="21">
        <f t="shared" si="4"/>
        <v>0</v>
      </c>
      <c r="BU14" s="21">
        <f t="shared" si="4"/>
        <v>0</v>
      </c>
      <c r="BV14" s="21">
        <f t="shared" si="4"/>
        <v>0</v>
      </c>
      <c r="BW14" s="21">
        <f t="shared" si="4"/>
        <v>0</v>
      </c>
      <c r="BX14" s="21">
        <f t="shared" si="5"/>
        <v>41438565</v>
      </c>
      <c r="BY14" s="21">
        <f t="shared" si="5"/>
        <v>0</v>
      </c>
      <c r="BZ14" s="21">
        <f t="shared" si="5"/>
        <v>0</v>
      </c>
      <c r="CA14" s="21">
        <f t="shared" si="5"/>
        <v>0</v>
      </c>
      <c r="CB14" s="21">
        <f t="shared" si="5"/>
        <v>0</v>
      </c>
      <c r="CC14" s="21">
        <f t="shared" si="5"/>
        <v>0</v>
      </c>
      <c r="CD14" s="21">
        <f t="shared" si="5"/>
        <v>0</v>
      </c>
      <c r="CE14" s="23">
        <f t="shared" si="6"/>
        <v>0.17122870000000001</v>
      </c>
      <c r="CF14" s="21">
        <f t="shared" si="7"/>
        <v>8561435</v>
      </c>
      <c r="CG14" s="21"/>
      <c r="CH14" s="21"/>
      <c r="CI14" s="21"/>
      <c r="CJ14" s="21"/>
      <c r="CK14" s="21"/>
      <c r="CL14" s="21"/>
      <c r="CM14" s="21"/>
      <c r="CN14" s="21"/>
      <c r="CO14" s="21"/>
      <c r="CP14" s="21"/>
      <c r="CQ14" s="21"/>
      <c r="CR14" s="21"/>
      <c r="CS14" s="21"/>
      <c r="CT14" s="21"/>
      <c r="CU14" s="21"/>
      <c r="CV14" s="21"/>
      <c r="CW14" s="21">
        <f>+'[1]Acuerdo PLAN INVERSIÓN 2021'!$H$235</f>
        <v>8561435</v>
      </c>
      <c r="CX14" s="21"/>
      <c r="CY14" s="21"/>
      <c r="CZ14" s="21"/>
      <c r="DA14" s="21"/>
      <c r="DB14" s="21"/>
      <c r="DC14" s="21"/>
      <c r="DD14" s="23">
        <f t="shared" si="8"/>
        <v>0.82877129999999999</v>
      </c>
      <c r="DE14" s="21">
        <f t="shared" si="14"/>
        <v>41438565</v>
      </c>
      <c r="DF14" s="21">
        <f t="shared" si="9"/>
        <v>0</v>
      </c>
      <c r="DG14" s="21">
        <f t="shared" si="9"/>
        <v>0</v>
      </c>
      <c r="DH14" s="21">
        <f t="shared" si="9"/>
        <v>0</v>
      </c>
      <c r="DI14" s="21">
        <f t="shared" si="9"/>
        <v>0</v>
      </c>
      <c r="DJ14" s="21">
        <f t="shared" si="9"/>
        <v>0</v>
      </c>
      <c r="DK14" s="21">
        <f t="shared" si="9"/>
        <v>0</v>
      </c>
      <c r="DL14" s="21">
        <f t="shared" si="9"/>
        <v>0</v>
      </c>
      <c r="DM14" s="21">
        <f t="shared" si="9"/>
        <v>0</v>
      </c>
      <c r="DN14" s="21">
        <f t="shared" si="9"/>
        <v>0</v>
      </c>
      <c r="DO14" s="21">
        <f t="shared" si="9"/>
        <v>0</v>
      </c>
      <c r="DP14" s="21">
        <f t="shared" si="9"/>
        <v>0</v>
      </c>
      <c r="DQ14" s="21">
        <f t="shared" si="9"/>
        <v>0</v>
      </c>
      <c r="DR14" s="21">
        <f t="shared" si="9"/>
        <v>0</v>
      </c>
      <c r="DS14" s="21">
        <f t="shared" si="9"/>
        <v>0</v>
      </c>
      <c r="DT14" s="21">
        <f t="shared" si="9"/>
        <v>0</v>
      </c>
      <c r="DU14" s="21">
        <f t="shared" si="9"/>
        <v>0</v>
      </c>
      <c r="DV14" s="21">
        <f t="shared" si="10"/>
        <v>41438565</v>
      </c>
      <c r="DW14" s="21">
        <f t="shared" si="10"/>
        <v>0</v>
      </c>
      <c r="DX14" s="21">
        <f t="shared" si="10"/>
        <v>0</v>
      </c>
      <c r="DY14" s="21">
        <f t="shared" si="10"/>
        <v>0</v>
      </c>
      <c r="DZ14" s="21">
        <f t="shared" si="10"/>
        <v>0</v>
      </c>
      <c r="EA14" s="21">
        <f t="shared" si="10"/>
        <v>0</v>
      </c>
      <c r="EB14" s="21">
        <f t="shared" si="10"/>
        <v>0</v>
      </c>
      <c r="ED14" s="27">
        <f t="shared" si="11"/>
        <v>50000000</v>
      </c>
      <c r="EE14" s="27">
        <f t="shared" si="15"/>
        <v>50000000</v>
      </c>
      <c r="EF14" s="27">
        <f t="shared" si="16"/>
        <v>50000000</v>
      </c>
    </row>
    <row r="15" spans="1:136" ht="48" customHeight="1" x14ac:dyDescent="0.3">
      <c r="A15" s="28"/>
      <c r="B15" s="190"/>
      <c r="C15" s="17" t="s">
        <v>74</v>
      </c>
      <c r="D15" s="18" t="s">
        <v>75</v>
      </c>
      <c r="E15" s="19">
        <v>310</v>
      </c>
      <c r="F15" s="20" t="s">
        <v>76</v>
      </c>
      <c r="G15" s="21">
        <f t="shared" si="0"/>
        <v>461524882</v>
      </c>
      <c r="H15" s="22">
        <v>628000000</v>
      </c>
      <c r="I15" s="22">
        <f t="shared" si="12"/>
        <v>166475118</v>
      </c>
      <c r="J15" s="21"/>
      <c r="K15" s="21">
        <f>100000000+37117235</f>
        <v>137117235</v>
      </c>
      <c r="L15" s="21"/>
      <c r="M15" s="21"/>
      <c r="N15" s="21"/>
      <c r="O15" s="21"/>
      <c r="P15" s="21"/>
      <c r="Q15" s="21"/>
      <c r="R15" s="21"/>
      <c r="S15" s="21"/>
      <c r="T15" s="21"/>
      <c r="U15" s="21">
        <f>1576587</f>
        <v>1576587</v>
      </c>
      <c r="V15" s="21"/>
      <c r="W15" s="21"/>
      <c r="X15" s="21"/>
      <c r="Y15" s="21"/>
      <c r="Z15" s="21">
        <v>262000000</v>
      </c>
      <c r="AA15" s="21"/>
      <c r="AB15" s="21"/>
      <c r="AC15" s="21"/>
      <c r="AD15" s="21"/>
      <c r="AE15" s="21"/>
      <c r="AF15" s="21">
        <f>20000000+20400000+5000000+10931060+4500000</f>
        <v>60831060</v>
      </c>
      <c r="AG15" s="23">
        <f t="shared" si="1"/>
        <v>0.4426951416240219</v>
      </c>
      <c r="AH15" s="21">
        <f t="shared" si="2"/>
        <v>204314823</v>
      </c>
      <c r="AI15" s="21"/>
      <c r="AJ15" s="21">
        <f>+'[1]Acuerdo PLAN INVERSIÓN 2021'!$J$247</f>
        <v>89418632</v>
      </c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>
        <f>+'[1]Acuerdo PLAN INVERSIÓN 2021'!$AA$247</f>
        <v>84092890</v>
      </c>
      <c r="AZ15" s="21"/>
      <c r="BA15" s="21"/>
      <c r="BB15" s="21"/>
      <c r="BC15" s="21"/>
      <c r="BD15" s="21"/>
      <c r="BE15" s="21">
        <f>+'[1]Acuerdo PLAN INVERSIÓN 2021'!$AF$247</f>
        <v>30803301</v>
      </c>
      <c r="BF15" s="23">
        <f t="shared" si="13"/>
        <v>0.5573048583759781</v>
      </c>
      <c r="BG15" s="21">
        <f t="shared" si="3"/>
        <v>257210059</v>
      </c>
      <c r="BH15" s="21">
        <f t="shared" si="4"/>
        <v>0</v>
      </c>
      <c r="BI15" s="21">
        <f t="shared" si="4"/>
        <v>47698603</v>
      </c>
      <c r="BJ15" s="21">
        <f t="shared" si="4"/>
        <v>0</v>
      </c>
      <c r="BK15" s="21">
        <f t="shared" si="4"/>
        <v>0</v>
      </c>
      <c r="BL15" s="21">
        <f t="shared" si="4"/>
        <v>0</v>
      </c>
      <c r="BM15" s="21">
        <f t="shared" si="4"/>
        <v>0</v>
      </c>
      <c r="BN15" s="21">
        <f t="shared" si="4"/>
        <v>0</v>
      </c>
      <c r="BO15" s="21">
        <f t="shared" si="4"/>
        <v>0</v>
      </c>
      <c r="BP15" s="21">
        <f t="shared" si="4"/>
        <v>0</v>
      </c>
      <c r="BQ15" s="21">
        <f t="shared" si="4"/>
        <v>0</v>
      </c>
      <c r="BR15" s="21">
        <f t="shared" si="4"/>
        <v>0</v>
      </c>
      <c r="BS15" s="21">
        <f t="shared" si="4"/>
        <v>1576587</v>
      </c>
      <c r="BT15" s="21">
        <f t="shared" si="4"/>
        <v>0</v>
      </c>
      <c r="BU15" s="21">
        <f t="shared" si="4"/>
        <v>0</v>
      </c>
      <c r="BV15" s="21">
        <f t="shared" si="4"/>
        <v>0</v>
      </c>
      <c r="BW15" s="21">
        <f t="shared" si="4"/>
        <v>0</v>
      </c>
      <c r="BX15" s="21">
        <f t="shared" si="5"/>
        <v>177907110</v>
      </c>
      <c r="BY15" s="21">
        <f t="shared" si="5"/>
        <v>0</v>
      </c>
      <c r="BZ15" s="21">
        <f t="shared" si="5"/>
        <v>0</v>
      </c>
      <c r="CA15" s="21">
        <f t="shared" si="5"/>
        <v>0</v>
      </c>
      <c r="CB15" s="21">
        <f t="shared" si="5"/>
        <v>0</v>
      </c>
      <c r="CC15" s="21">
        <f t="shared" si="5"/>
        <v>0</v>
      </c>
      <c r="CD15" s="21">
        <f t="shared" si="5"/>
        <v>30027759</v>
      </c>
      <c r="CE15" s="23">
        <f t="shared" si="6"/>
        <v>0.4426951416240219</v>
      </c>
      <c r="CF15" s="21">
        <f t="shared" si="7"/>
        <v>204314823</v>
      </c>
      <c r="CG15" s="21"/>
      <c r="CH15" s="21">
        <f>+'[5]Acuerdo PLAN INVERSIÓN 2021'!$H$230+'[5]Acuerdo PLAN INVERSIÓN 2021'!$H$335+'[5]Acuerdo PLAN INVERSIÓN 2021'!$H$357+'[5]Acuerdo PLAN INVERSIÓN 2021'!$H$361+'[5]Acuerdo PLAN INVERSIÓN 2021'!$H$382+'[5]Acuerdo PLAN INVERSIÓN 2021'!$H$394</f>
        <v>89418632</v>
      </c>
      <c r="CI15" s="21"/>
      <c r="CJ15" s="21"/>
      <c r="CK15" s="21"/>
      <c r="CL15" s="21"/>
      <c r="CM15" s="21"/>
      <c r="CN15" s="21"/>
      <c r="CO15" s="21"/>
      <c r="CP15" s="21"/>
      <c r="CQ15" s="21"/>
      <c r="CR15" s="21"/>
      <c r="CS15" s="21"/>
      <c r="CT15" s="21"/>
      <c r="CU15" s="21"/>
      <c r="CV15" s="21"/>
      <c r="CW15" s="21">
        <f>+'[1]Acuerdo PLAN INVERSIÓN 2021'!$AA$247</f>
        <v>84092890</v>
      </c>
      <c r="CX15" s="21"/>
      <c r="CY15" s="21"/>
      <c r="CZ15" s="21"/>
      <c r="DA15" s="21"/>
      <c r="DB15" s="21"/>
      <c r="DC15" s="21">
        <f>+'[1]Acuerdo PLAN INVERSIÓN 2021'!$AF$247</f>
        <v>30803301</v>
      </c>
      <c r="DD15" s="23">
        <f t="shared" si="8"/>
        <v>0.5573048583759781</v>
      </c>
      <c r="DE15" s="21">
        <f t="shared" si="14"/>
        <v>257210059</v>
      </c>
      <c r="DF15" s="21">
        <f t="shared" si="9"/>
        <v>0</v>
      </c>
      <c r="DG15" s="21">
        <f t="shared" si="9"/>
        <v>47698603</v>
      </c>
      <c r="DH15" s="21">
        <f t="shared" si="9"/>
        <v>0</v>
      </c>
      <c r="DI15" s="21">
        <f t="shared" si="9"/>
        <v>0</v>
      </c>
      <c r="DJ15" s="21">
        <f t="shared" si="9"/>
        <v>0</v>
      </c>
      <c r="DK15" s="21">
        <f t="shared" si="9"/>
        <v>0</v>
      </c>
      <c r="DL15" s="21">
        <f t="shared" si="9"/>
        <v>0</v>
      </c>
      <c r="DM15" s="21">
        <f t="shared" si="9"/>
        <v>0</v>
      </c>
      <c r="DN15" s="21">
        <f t="shared" si="9"/>
        <v>0</v>
      </c>
      <c r="DO15" s="21">
        <f t="shared" si="9"/>
        <v>0</v>
      </c>
      <c r="DP15" s="21">
        <f t="shared" si="9"/>
        <v>0</v>
      </c>
      <c r="DQ15" s="21">
        <f t="shared" si="9"/>
        <v>1576587</v>
      </c>
      <c r="DR15" s="21">
        <f t="shared" si="9"/>
        <v>0</v>
      </c>
      <c r="DS15" s="21">
        <f t="shared" si="9"/>
        <v>0</v>
      </c>
      <c r="DT15" s="21">
        <f t="shared" si="9"/>
        <v>0</v>
      </c>
      <c r="DU15" s="21">
        <f t="shared" si="9"/>
        <v>0</v>
      </c>
      <c r="DV15" s="21">
        <f t="shared" si="10"/>
        <v>177907110</v>
      </c>
      <c r="DW15" s="21">
        <f t="shared" si="10"/>
        <v>0</v>
      </c>
      <c r="DX15" s="21">
        <f t="shared" si="10"/>
        <v>0</v>
      </c>
      <c r="DY15" s="21">
        <f t="shared" si="10"/>
        <v>0</v>
      </c>
      <c r="DZ15" s="21">
        <f t="shared" si="10"/>
        <v>0</v>
      </c>
      <c r="EA15" s="21">
        <f t="shared" si="10"/>
        <v>0</v>
      </c>
      <c r="EB15" s="21">
        <f t="shared" si="10"/>
        <v>30027759</v>
      </c>
      <c r="ED15" s="27">
        <f t="shared" si="11"/>
        <v>461524882</v>
      </c>
      <c r="EE15" s="27">
        <f t="shared" si="15"/>
        <v>461524882</v>
      </c>
      <c r="EF15" s="27">
        <f t="shared" si="16"/>
        <v>461524882</v>
      </c>
    </row>
    <row r="16" spans="1:136" ht="26.25" customHeight="1" x14ac:dyDescent="0.3">
      <c r="A16" s="28"/>
      <c r="B16" s="191"/>
      <c r="C16" s="17" t="s">
        <v>77</v>
      </c>
      <c r="D16" s="18" t="s">
        <v>78</v>
      </c>
      <c r="E16" s="19">
        <v>310</v>
      </c>
      <c r="F16" s="20" t="s">
        <v>63</v>
      </c>
      <c r="G16" s="21">
        <f t="shared" si="0"/>
        <v>22066667</v>
      </c>
      <c r="H16" s="22">
        <v>80000000</v>
      </c>
      <c r="I16" s="22">
        <f t="shared" si="12"/>
        <v>57933333</v>
      </c>
      <c r="J16" s="21"/>
      <c r="K16" s="21">
        <f>2066667</f>
        <v>2066667</v>
      </c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>
        <v>20000000</v>
      </c>
      <c r="AA16" s="21"/>
      <c r="AB16" s="21"/>
      <c r="AC16" s="21"/>
      <c r="AD16" s="21"/>
      <c r="AE16" s="21"/>
      <c r="AF16" s="21"/>
      <c r="AG16" s="23">
        <f t="shared" si="1"/>
        <v>0</v>
      </c>
      <c r="AH16" s="21">
        <f t="shared" si="2"/>
        <v>0</v>
      </c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3">
        <f t="shared" si="13"/>
        <v>1</v>
      </c>
      <c r="BG16" s="21">
        <f t="shared" si="3"/>
        <v>22066667</v>
      </c>
      <c r="BH16" s="21">
        <f t="shared" si="4"/>
        <v>0</v>
      </c>
      <c r="BI16" s="21">
        <f t="shared" si="4"/>
        <v>2066667</v>
      </c>
      <c r="BJ16" s="21">
        <f t="shared" si="4"/>
        <v>0</v>
      </c>
      <c r="BK16" s="21">
        <f t="shared" si="4"/>
        <v>0</v>
      </c>
      <c r="BL16" s="21">
        <f t="shared" si="4"/>
        <v>0</v>
      </c>
      <c r="BM16" s="21">
        <f t="shared" si="4"/>
        <v>0</v>
      </c>
      <c r="BN16" s="21">
        <f t="shared" si="4"/>
        <v>0</v>
      </c>
      <c r="BO16" s="21">
        <f t="shared" si="4"/>
        <v>0</v>
      </c>
      <c r="BP16" s="21">
        <f t="shared" si="4"/>
        <v>0</v>
      </c>
      <c r="BQ16" s="21">
        <f t="shared" si="4"/>
        <v>0</v>
      </c>
      <c r="BR16" s="21">
        <f t="shared" si="4"/>
        <v>0</v>
      </c>
      <c r="BS16" s="21">
        <f t="shared" si="4"/>
        <v>0</v>
      </c>
      <c r="BT16" s="21">
        <f t="shared" si="4"/>
        <v>0</v>
      </c>
      <c r="BU16" s="21">
        <f t="shared" si="4"/>
        <v>0</v>
      </c>
      <c r="BV16" s="21">
        <f t="shared" si="4"/>
        <v>0</v>
      </c>
      <c r="BW16" s="21">
        <f t="shared" si="4"/>
        <v>0</v>
      </c>
      <c r="BX16" s="21">
        <f t="shared" si="5"/>
        <v>20000000</v>
      </c>
      <c r="BY16" s="21">
        <f t="shared" si="5"/>
        <v>0</v>
      </c>
      <c r="BZ16" s="21">
        <f t="shared" si="5"/>
        <v>0</v>
      </c>
      <c r="CA16" s="21">
        <f t="shared" si="5"/>
        <v>0</v>
      </c>
      <c r="CB16" s="21">
        <f t="shared" si="5"/>
        <v>0</v>
      </c>
      <c r="CC16" s="21">
        <f t="shared" si="5"/>
        <v>0</v>
      </c>
      <c r="CD16" s="21">
        <f t="shared" si="5"/>
        <v>0</v>
      </c>
      <c r="CE16" s="23">
        <f t="shared" si="6"/>
        <v>0</v>
      </c>
      <c r="CF16" s="21">
        <f t="shared" si="7"/>
        <v>0</v>
      </c>
      <c r="CG16" s="21"/>
      <c r="CH16" s="21"/>
      <c r="CI16" s="21"/>
      <c r="CJ16" s="21"/>
      <c r="CK16" s="21"/>
      <c r="CL16" s="21"/>
      <c r="CM16" s="21"/>
      <c r="CN16" s="21"/>
      <c r="CO16" s="21"/>
      <c r="CP16" s="21"/>
      <c r="CQ16" s="21"/>
      <c r="CR16" s="21"/>
      <c r="CS16" s="21"/>
      <c r="CT16" s="21"/>
      <c r="CU16" s="21"/>
      <c r="CV16" s="21"/>
      <c r="CW16" s="21"/>
      <c r="CX16" s="21"/>
      <c r="CY16" s="21"/>
      <c r="CZ16" s="21"/>
      <c r="DA16" s="21"/>
      <c r="DB16" s="21"/>
      <c r="DC16" s="21"/>
      <c r="DD16" s="23">
        <f t="shared" si="8"/>
        <v>1</v>
      </c>
      <c r="DE16" s="21">
        <f t="shared" si="14"/>
        <v>22066667</v>
      </c>
      <c r="DF16" s="21">
        <f t="shared" si="9"/>
        <v>0</v>
      </c>
      <c r="DG16" s="21">
        <f t="shared" si="9"/>
        <v>2066667</v>
      </c>
      <c r="DH16" s="21">
        <f t="shared" si="9"/>
        <v>0</v>
      </c>
      <c r="DI16" s="21">
        <f t="shared" si="9"/>
        <v>0</v>
      </c>
      <c r="DJ16" s="21">
        <f t="shared" si="9"/>
        <v>0</v>
      </c>
      <c r="DK16" s="21">
        <f t="shared" si="9"/>
        <v>0</v>
      </c>
      <c r="DL16" s="21">
        <f t="shared" si="9"/>
        <v>0</v>
      </c>
      <c r="DM16" s="21">
        <f t="shared" si="9"/>
        <v>0</v>
      </c>
      <c r="DN16" s="21">
        <f t="shared" si="9"/>
        <v>0</v>
      </c>
      <c r="DO16" s="21">
        <f t="shared" si="9"/>
        <v>0</v>
      </c>
      <c r="DP16" s="21">
        <f t="shared" si="9"/>
        <v>0</v>
      </c>
      <c r="DQ16" s="21">
        <f t="shared" si="9"/>
        <v>0</v>
      </c>
      <c r="DR16" s="21">
        <f t="shared" si="9"/>
        <v>0</v>
      </c>
      <c r="DS16" s="21">
        <f t="shared" si="9"/>
        <v>0</v>
      </c>
      <c r="DT16" s="21">
        <f t="shared" si="9"/>
        <v>0</v>
      </c>
      <c r="DU16" s="21">
        <f t="shared" si="9"/>
        <v>0</v>
      </c>
      <c r="DV16" s="21">
        <f t="shared" si="10"/>
        <v>20000000</v>
      </c>
      <c r="DW16" s="21">
        <f t="shared" si="10"/>
        <v>0</v>
      </c>
      <c r="DX16" s="21">
        <f t="shared" si="10"/>
        <v>0</v>
      </c>
      <c r="DY16" s="21">
        <f t="shared" si="10"/>
        <v>0</v>
      </c>
      <c r="DZ16" s="21">
        <f t="shared" si="10"/>
        <v>0</v>
      </c>
      <c r="EA16" s="21">
        <f t="shared" si="10"/>
        <v>0</v>
      </c>
      <c r="EB16" s="21">
        <f t="shared" si="10"/>
        <v>0</v>
      </c>
      <c r="ED16" s="27">
        <f t="shared" si="11"/>
        <v>22066667</v>
      </c>
      <c r="EE16" s="27">
        <f t="shared" si="15"/>
        <v>22066667</v>
      </c>
      <c r="EF16" s="27">
        <f t="shared" si="16"/>
        <v>22066667</v>
      </c>
    </row>
    <row r="17" spans="1:137" ht="65.25" customHeight="1" x14ac:dyDescent="0.3">
      <c r="A17" s="28"/>
      <c r="B17" s="192" t="s">
        <v>79</v>
      </c>
      <c r="C17" s="34" t="s">
        <v>80</v>
      </c>
      <c r="D17" s="29" t="s">
        <v>81</v>
      </c>
      <c r="E17" s="19">
        <v>510</v>
      </c>
      <c r="F17" s="20" t="s">
        <v>82</v>
      </c>
      <c r="G17" s="21">
        <f t="shared" si="0"/>
        <v>313199723</v>
      </c>
      <c r="H17" s="22">
        <v>150000000</v>
      </c>
      <c r="I17" s="22">
        <f t="shared" si="12"/>
        <v>-163199723</v>
      </c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>
        <v>100000000</v>
      </c>
      <c r="AA17" s="21"/>
      <c r="AB17" s="21">
        <f>34000000+73168075-10000000</f>
        <v>97168075</v>
      </c>
      <c r="AC17" s="21"/>
      <c r="AD17" s="21"/>
      <c r="AE17" s="21"/>
      <c r="AF17" s="21">
        <f>53000000+8000000+13750000+10000000+10000000+10284982+10996666</f>
        <v>116031648</v>
      </c>
      <c r="AG17" s="23">
        <f t="shared" si="1"/>
        <v>0.9154085075611641</v>
      </c>
      <c r="AH17" s="21">
        <f t="shared" si="2"/>
        <v>286705691</v>
      </c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>
        <f>+'[1]Acuerdo PLAN INVERSIÓN 2021'!$AA$461</f>
        <v>99968332</v>
      </c>
      <c r="AZ17" s="21"/>
      <c r="BA17" s="21">
        <f>+'[1]Acuerdo PLAN INVERSIÓN 2021'!$Y$461</f>
        <v>87703330</v>
      </c>
      <c r="BB17" s="21"/>
      <c r="BC17" s="21"/>
      <c r="BD17" s="21"/>
      <c r="BE17" s="21">
        <f>+'[1]Acuerdo PLAN INVERSIÓN 2021'!$AF$461</f>
        <v>99034029</v>
      </c>
      <c r="BF17" s="23">
        <f t="shared" si="13"/>
        <v>8.4591492438835902E-2</v>
      </c>
      <c r="BG17" s="21">
        <f t="shared" si="3"/>
        <v>26494032</v>
      </c>
      <c r="BH17" s="21">
        <f t="shared" si="4"/>
        <v>0</v>
      </c>
      <c r="BI17" s="21">
        <f t="shared" si="4"/>
        <v>0</v>
      </c>
      <c r="BJ17" s="21">
        <f t="shared" si="4"/>
        <v>0</v>
      </c>
      <c r="BK17" s="21">
        <f t="shared" si="4"/>
        <v>0</v>
      </c>
      <c r="BL17" s="21">
        <f t="shared" si="4"/>
        <v>0</v>
      </c>
      <c r="BM17" s="21">
        <f t="shared" si="4"/>
        <v>0</v>
      </c>
      <c r="BN17" s="21">
        <f t="shared" si="4"/>
        <v>0</v>
      </c>
      <c r="BO17" s="21">
        <f t="shared" si="4"/>
        <v>0</v>
      </c>
      <c r="BP17" s="21">
        <f t="shared" si="4"/>
        <v>0</v>
      </c>
      <c r="BQ17" s="21">
        <f t="shared" si="4"/>
        <v>0</v>
      </c>
      <c r="BR17" s="21">
        <f t="shared" si="4"/>
        <v>0</v>
      </c>
      <c r="BS17" s="21">
        <f t="shared" si="4"/>
        <v>0</v>
      </c>
      <c r="BT17" s="21">
        <f t="shared" si="4"/>
        <v>0</v>
      </c>
      <c r="BU17" s="21">
        <f t="shared" si="4"/>
        <v>0</v>
      </c>
      <c r="BV17" s="21">
        <f t="shared" si="4"/>
        <v>0</v>
      </c>
      <c r="BW17" s="21">
        <f t="shared" si="4"/>
        <v>0</v>
      </c>
      <c r="BX17" s="21">
        <f t="shared" si="5"/>
        <v>31668</v>
      </c>
      <c r="BY17" s="21">
        <f t="shared" si="5"/>
        <v>0</v>
      </c>
      <c r="BZ17" s="21">
        <f t="shared" si="5"/>
        <v>9464745</v>
      </c>
      <c r="CA17" s="21">
        <f t="shared" si="5"/>
        <v>0</v>
      </c>
      <c r="CB17" s="21">
        <f t="shared" si="5"/>
        <v>0</v>
      </c>
      <c r="CC17" s="21">
        <f t="shared" si="5"/>
        <v>0</v>
      </c>
      <c r="CD17" s="21">
        <f t="shared" si="5"/>
        <v>16997619</v>
      </c>
      <c r="CE17" s="23">
        <f t="shared" si="6"/>
        <v>0.9154085075611641</v>
      </c>
      <c r="CF17" s="21">
        <f t="shared" si="7"/>
        <v>286705691</v>
      </c>
      <c r="CG17" s="21"/>
      <c r="CH17" s="21"/>
      <c r="CI17" s="21"/>
      <c r="CJ17" s="21"/>
      <c r="CK17" s="21"/>
      <c r="CL17" s="21"/>
      <c r="CM17" s="21"/>
      <c r="CN17" s="21"/>
      <c r="CO17" s="21"/>
      <c r="CP17" s="21"/>
      <c r="CQ17" s="21"/>
      <c r="CR17" s="21"/>
      <c r="CS17" s="21"/>
      <c r="CT17" s="21"/>
      <c r="CU17" s="21"/>
      <c r="CV17" s="21"/>
      <c r="CW17" s="21">
        <f>+'[8]Acuerdo PLAN INVERSIÓN 2021'!$H$363</f>
        <v>99968332</v>
      </c>
      <c r="CX17" s="21"/>
      <c r="CY17" s="21">
        <f>+'[8]Acuerdo PLAN INVERSIÓN 2021'!$H$403+'[8]Acuerdo PLAN INVERSIÓN 2021'!$H$419</f>
        <v>87703330</v>
      </c>
      <c r="CZ17" s="21"/>
      <c r="DA17" s="21"/>
      <c r="DB17" s="21"/>
      <c r="DC17" s="21">
        <f>+'[8]Acuerdo PLAN INVERSIÓN 2021'!$H$372+'[8]Acuerdo PLAN INVERSIÓN 2021'!$H$376+'[8]Acuerdo PLAN INVERSIÓN 2021'!$H$379+'[8]Acuerdo PLAN INVERSIÓN 2021'!$H$382+'[8]Acuerdo PLAN INVERSIÓN 2021'!$H$385+'[8]Acuerdo PLAN INVERSIÓN 2021'!$H$388+'[8]Acuerdo PLAN INVERSIÓN 2021'!$H$392+'[8]Acuerdo PLAN INVERSIÓN 2021'!$H$395+'[8]Acuerdo PLAN INVERSIÓN 2021'!$H$399+'[8]Acuerdo PLAN INVERSIÓN 2021'!$H$411+'[8]Acuerdo PLAN INVERSIÓN 2021'!$H$414+'[8]Acuerdo PLAN INVERSIÓN 2021'!$H$429+'[8]Acuerdo PLAN INVERSIÓN 2021'!$H$432+'[5]Acuerdo PLAN INVERSIÓN 2021'!$H$507</f>
        <v>99034029</v>
      </c>
      <c r="DD17" s="23">
        <f t="shared" si="8"/>
        <v>8.4591492438835902E-2</v>
      </c>
      <c r="DE17" s="21">
        <f t="shared" si="14"/>
        <v>26494032</v>
      </c>
      <c r="DF17" s="21">
        <f t="shared" si="9"/>
        <v>0</v>
      </c>
      <c r="DG17" s="21">
        <f t="shared" si="9"/>
        <v>0</v>
      </c>
      <c r="DH17" s="21">
        <f t="shared" si="9"/>
        <v>0</v>
      </c>
      <c r="DI17" s="21">
        <f t="shared" si="9"/>
        <v>0</v>
      </c>
      <c r="DJ17" s="21">
        <f t="shared" si="9"/>
        <v>0</v>
      </c>
      <c r="DK17" s="21">
        <f t="shared" si="9"/>
        <v>0</v>
      </c>
      <c r="DL17" s="21">
        <f t="shared" si="9"/>
        <v>0</v>
      </c>
      <c r="DM17" s="21">
        <f t="shared" si="9"/>
        <v>0</v>
      </c>
      <c r="DN17" s="21">
        <f t="shared" si="9"/>
        <v>0</v>
      </c>
      <c r="DO17" s="21">
        <f t="shared" si="9"/>
        <v>0</v>
      </c>
      <c r="DP17" s="21">
        <f t="shared" si="9"/>
        <v>0</v>
      </c>
      <c r="DQ17" s="21">
        <f t="shared" si="9"/>
        <v>0</v>
      </c>
      <c r="DR17" s="21">
        <f t="shared" si="9"/>
        <v>0</v>
      </c>
      <c r="DS17" s="21">
        <f t="shared" si="9"/>
        <v>0</v>
      </c>
      <c r="DT17" s="21">
        <f t="shared" si="9"/>
        <v>0</v>
      </c>
      <c r="DU17" s="21">
        <f t="shared" si="9"/>
        <v>0</v>
      </c>
      <c r="DV17" s="21">
        <f t="shared" si="10"/>
        <v>31668</v>
      </c>
      <c r="DW17" s="21">
        <f t="shared" si="10"/>
        <v>0</v>
      </c>
      <c r="DX17" s="21">
        <f t="shared" si="10"/>
        <v>9464745</v>
      </c>
      <c r="DY17" s="21">
        <f t="shared" si="10"/>
        <v>0</v>
      </c>
      <c r="DZ17" s="21">
        <f t="shared" si="10"/>
        <v>0</v>
      </c>
      <c r="EA17" s="21">
        <f t="shared" si="10"/>
        <v>0</v>
      </c>
      <c r="EB17" s="21">
        <f t="shared" si="10"/>
        <v>16997619</v>
      </c>
      <c r="ED17" s="27">
        <f t="shared" si="11"/>
        <v>313199723</v>
      </c>
      <c r="EE17" s="27">
        <f t="shared" si="15"/>
        <v>313199723</v>
      </c>
      <c r="EF17" s="27">
        <f t="shared" si="16"/>
        <v>313199723</v>
      </c>
    </row>
    <row r="18" spans="1:137" ht="33.6" customHeight="1" x14ac:dyDescent="0.3">
      <c r="A18" s="28"/>
      <c r="B18" s="193"/>
      <c r="C18" s="17" t="s">
        <v>83</v>
      </c>
      <c r="D18" s="18" t="s">
        <v>84</v>
      </c>
      <c r="E18" s="19">
        <v>510</v>
      </c>
      <c r="F18" s="20" t="s">
        <v>63</v>
      </c>
      <c r="G18" s="21">
        <f t="shared" si="0"/>
        <v>7236308</v>
      </c>
      <c r="H18" s="22">
        <v>51000000</v>
      </c>
      <c r="I18" s="22">
        <f t="shared" si="12"/>
        <v>43763692</v>
      </c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>
        <f>2236308</f>
        <v>2236308</v>
      </c>
      <c r="V18" s="21"/>
      <c r="W18" s="21"/>
      <c r="X18" s="21"/>
      <c r="Y18" s="21"/>
      <c r="Z18" s="21">
        <v>5000000</v>
      </c>
      <c r="AA18" s="21"/>
      <c r="AB18" s="21"/>
      <c r="AC18" s="21"/>
      <c r="AD18" s="21"/>
      <c r="AE18" s="21"/>
      <c r="AF18" s="21"/>
      <c r="AG18" s="23">
        <f t="shared" si="1"/>
        <v>0</v>
      </c>
      <c r="AH18" s="21">
        <f t="shared" si="2"/>
        <v>0</v>
      </c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21"/>
      <c r="BD18" s="21"/>
      <c r="BE18" s="21"/>
      <c r="BF18" s="23">
        <f t="shared" si="13"/>
        <v>1</v>
      </c>
      <c r="BG18" s="21">
        <f t="shared" si="3"/>
        <v>7236308</v>
      </c>
      <c r="BH18" s="21">
        <f t="shared" si="4"/>
        <v>0</v>
      </c>
      <c r="BI18" s="21">
        <f t="shared" si="4"/>
        <v>0</v>
      </c>
      <c r="BJ18" s="21">
        <f t="shared" si="4"/>
        <v>0</v>
      </c>
      <c r="BK18" s="21">
        <f t="shared" si="4"/>
        <v>0</v>
      </c>
      <c r="BL18" s="21">
        <f t="shared" si="4"/>
        <v>0</v>
      </c>
      <c r="BM18" s="21">
        <f t="shared" si="4"/>
        <v>0</v>
      </c>
      <c r="BN18" s="21">
        <f t="shared" si="4"/>
        <v>0</v>
      </c>
      <c r="BO18" s="21">
        <f t="shared" si="4"/>
        <v>0</v>
      </c>
      <c r="BP18" s="21">
        <f t="shared" si="4"/>
        <v>0</v>
      </c>
      <c r="BQ18" s="21">
        <f t="shared" si="4"/>
        <v>0</v>
      </c>
      <c r="BR18" s="21">
        <f t="shared" si="4"/>
        <v>0</v>
      </c>
      <c r="BS18" s="21">
        <f t="shared" si="4"/>
        <v>2236308</v>
      </c>
      <c r="BT18" s="21">
        <f t="shared" si="4"/>
        <v>0</v>
      </c>
      <c r="BU18" s="21">
        <f t="shared" si="4"/>
        <v>0</v>
      </c>
      <c r="BV18" s="21">
        <f t="shared" si="4"/>
        <v>0</v>
      </c>
      <c r="BW18" s="21">
        <f t="shared" si="4"/>
        <v>0</v>
      </c>
      <c r="BX18" s="21">
        <f t="shared" si="5"/>
        <v>5000000</v>
      </c>
      <c r="BY18" s="21">
        <f t="shared" si="5"/>
        <v>0</v>
      </c>
      <c r="BZ18" s="21">
        <f t="shared" si="5"/>
        <v>0</v>
      </c>
      <c r="CA18" s="21">
        <f t="shared" si="5"/>
        <v>0</v>
      </c>
      <c r="CB18" s="21">
        <f t="shared" si="5"/>
        <v>0</v>
      </c>
      <c r="CC18" s="21">
        <f t="shared" si="5"/>
        <v>0</v>
      </c>
      <c r="CD18" s="21">
        <f t="shared" si="5"/>
        <v>0</v>
      </c>
      <c r="CE18" s="23">
        <f t="shared" si="6"/>
        <v>0</v>
      </c>
      <c r="CF18" s="21">
        <f t="shared" si="7"/>
        <v>0</v>
      </c>
      <c r="CG18" s="21"/>
      <c r="CH18" s="21"/>
      <c r="CI18" s="21"/>
      <c r="CJ18" s="21"/>
      <c r="CK18" s="21"/>
      <c r="CL18" s="21"/>
      <c r="CM18" s="21"/>
      <c r="CN18" s="21"/>
      <c r="CO18" s="21"/>
      <c r="CP18" s="21"/>
      <c r="CQ18" s="21"/>
      <c r="CR18" s="21"/>
      <c r="CS18" s="21"/>
      <c r="CT18" s="21"/>
      <c r="CU18" s="21"/>
      <c r="CV18" s="21"/>
      <c r="CW18" s="21"/>
      <c r="CX18" s="21"/>
      <c r="CY18" s="21"/>
      <c r="CZ18" s="21"/>
      <c r="DA18" s="21"/>
      <c r="DB18" s="21"/>
      <c r="DC18" s="21"/>
      <c r="DD18" s="23">
        <f t="shared" si="8"/>
        <v>1</v>
      </c>
      <c r="DE18" s="21">
        <f t="shared" si="14"/>
        <v>7236308</v>
      </c>
      <c r="DF18" s="21">
        <f t="shared" si="9"/>
        <v>0</v>
      </c>
      <c r="DG18" s="21">
        <f t="shared" si="9"/>
        <v>0</v>
      </c>
      <c r="DH18" s="21">
        <f t="shared" si="9"/>
        <v>0</v>
      </c>
      <c r="DI18" s="21">
        <f t="shared" si="9"/>
        <v>0</v>
      </c>
      <c r="DJ18" s="21">
        <f t="shared" si="9"/>
        <v>0</v>
      </c>
      <c r="DK18" s="21">
        <f t="shared" si="9"/>
        <v>0</v>
      </c>
      <c r="DL18" s="21">
        <f t="shared" si="9"/>
        <v>0</v>
      </c>
      <c r="DM18" s="21">
        <f t="shared" si="9"/>
        <v>0</v>
      </c>
      <c r="DN18" s="21">
        <f t="shared" si="9"/>
        <v>0</v>
      </c>
      <c r="DO18" s="21">
        <f t="shared" si="9"/>
        <v>0</v>
      </c>
      <c r="DP18" s="21">
        <f t="shared" si="9"/>
        <v>0</v>
      </c>
      <c r="DQ18" s="21">
        <f t="shared" si="9"/>
        <v>2236308</v>
      </c>
      <c r="DR18" s="21">
        <f t="shared" si="9"/>
        <v>0</v>
      </c>
      <c r="DS18" s="21">
        <f t="shared" si="9"/>
        <v>0</v>
      </c>
      <c r="DT18" s="21">
        <f t="shared" si="9"/>
        <v>0</v>
      </c>
      <c r="DU18" s="21">
        <f t="shared" si="9"/>
        <v>0</v>
      </c>
      <c r="DV18" s="21">
        <f t="shared" si="10"/>
        <v>5000000</v>
      </c>
      <c r="DW18" s="21">
        <f t="shared" si="10"/>
        <v>0</v>
      </c>
      <c r="DX18" s="21">
        <f t="shared" si="10"/>
        <v>0</v>
      </c>
      <c r="DY18" s="21">
        <f t="shared" si="10"/>
        <v>0</v>
      </c>
      <c r="DZ18" s="21">
        <f t="shared" si="10"/>
        <v>0</v>
      </c>
      <c r="EA18" s="21">
        <f t="shared" si="10"/>
        <v>0</v>
      </c>
      <c r="EB18" s="21">
        <f t="shared" si="10"/>
        <v>0</v>
      </c>
      <c r="ED18" s="27">
        <f t="shared" si="11"/>
        <v>7236308</v>
      </c>
      <c r="EE18" s="27">
        <f t="shared" si="15"/>
        <v>7236308</v>
      </c>
      <c r="EF18" s="27">
        <f t="shared" si="16"/>
        <v>7236308</v>
      </c>
    </row>
    <row r="19" spans="1:137" ht="33" customHeight="1" x14ac:dyDescent="0.3">
      <c r="A19" s="28"/>
      <c r="B19" s="194"/>
      <c r="C19" s="17" t="s">
        <v>85</v>
      </c>
      <c r="D19" s="18" t="s">
        <v>86</v>
      </c>
      <c r="E19" s="19">
        <v>510</v>
      </c>
      <c r="F19" s="20" t="s">
        <v>63</v>
      </c>
      <c r="G19" s="21">
        <f t="shared" si="0"/>
        <v>108281335</v>
      </c>
      <c r="H19" s="22">
        <v>100000000</v>
      </c>
      <c r="I19" s="22">
        <f t="shared" si="12"/>
        <v>-8281335</v>
      </c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>
        <v>281335</v>
      </c>
      <c r="V19" s="21"/>
      <c r="W19" s="21"/>
      <c r="X19" s="21"/>
      <c r="Y19" s="21"/>
      <c r="Z19" s="21">
        <v>108000000</v>
      </c>
      <c r="AA19" s="21"/>
      <c r="AB19" s="21"/>
      <c r="AC19" s="21"/>
      <c r="AD19" s="21"/>
      <c r="AE19" s="21"/>
      <c r="AF19" s="21"/>
      <c r="AG19" s="23">
        <f t="shared" si="1"/>
        <v>0.99740181444936937</v>
      </c>
      <c r="AH19" s="21">
        <f t="shared" si="2"/>
        <v>108000000</v>
      </c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>
        <f>+'[9]Acuerdo PLAN INVERSIÓN 2021'!$Z$118</f>
        <v>108000000</v>
      </c>
      <c r="AZ19" s="21"/>
      <c r="BA19" s="21"/>
      <c r="BB19" s="21"/>
      <c r="BC19" s="21"/>
      <c r="BD19" s="21"/>
      <c r="BE19" s="21"/>
      <c r="BF19" s="23">
        <f t="shared" si="13"/>
        <v>2.5981855506306273E-3</v>
      </c>
      <c r="BG19" s="21">
        <f t="shared" si="3"/>
        <v>281335</v>
      </c>
      <c r="BH19" s="21">
        <f t="shared" si="4"/>
        <v>0</v>
      </c>
      <c r="BI19" s="21">
        <f t="shared" si="4"/>
        <v>0</v>
      </c>
      <c r="BJ19" s="21">
        <f t="shared" si="4"/>
        <v>0</v>
      </c>
      <c r="BK19" s="21">
        <f t="shared" si="4"/>
        <v>0</v>
      </c>
      <c r="BL19" s="21">
        <f t="shared" si="4"/>
        <v>0</v>
      </c>
      <c r="BM19" s="21">
        <f t="shared" si="4"/>
        <v>0</v>
      </c>
      <c r="BN19" s="21">
        <f t="shared" si="4"/>
        <v>0</v>
      </c>
      <c r="BO19" s="21">
        <f t="shared" si="4"/>
        <v>0</v>
      </c>
      <c r="BP19" s="21">
        <f t="shared" si="4"/>
        <v>0</v>
      </c>
      <c r="BQ19" s="21">
        <f t="shared" si="4"/>
        <v>0</v>
      </c>
      <c r="BR19" s="21">
        <f t="shared" si="4"/>
        <v>0</v>
      </c>
      <c r="BS19" s="21">
        <f t="shared" si="4"/>
        <v>281335</v>
      </c>
      <c r="BT19" s="21">
        <f t="shared" si="4"/>
        <v>0</v>
      </c>
      <c r="BU19" s="21">
        <f t="shared" si="4"/>
        <v>0</v>
      </c>
      <c r="BV19" s="21">
        <f t="shared" si="4"/>
        <v>0</v>
      </c>
      <c r="BW19" s="21">
        <f t="shared" si="4"/>
        <v>0</v>
      </c>
      <c r="BX19" s="21">
        <f t="shared" si="5"/>
        <v>0</v>
      </c>
      <c r="BY19" s="21">
        <f t="shared" si="5"/>
        <v>0</v>
      </c>
      <c r="BZ19" s="21">
        <f t="shared" si="5"/>
        <v>0</v>
      </c>
      <c r="CA19" s="21">
        <f t="shared" si="5"/>
        <v>0</v>
      </c>
      <c r="CB19" s="21">
        <f t="shared" si="5"/>
        <v>0</v>
      </c>
      <c r="CC19" s="21">
        <f t="shared" si="5"/>
        <v>0</v>
      </c>
      <c r="CD19" s="21">
        <f t="shared" si="5"/>
        <v>0</v>
      </c>
      <c r="CE19" s="23">
        <f t="shared" si="6"/>
        <v>0.99740181444936937</v>
      </c>
      <c r="CF19" s="21">
        <f t="shared" si="7"/>
        <v>108000000</v>
      </c>
      <c r="CG19" s="21"/>
      <c r="CH19" s="21"/>
      <c r="CI19" s="21"/>
      <c r="CJ19" s="21"/>
      <c r="CK19" s="21"/>
      <c r="CL19" s="21"/>
      <c r="CM19" s="21"/>
      <c r="CN19" s="21"/>
      <c r="CO19" s="21"/>
      <c r="CP19" s="21"/>
      <c r="CQ19" s="21"/>
      <c r="CR19" s="21"/>
      <c r="CS19" s="21"/>
      <c r="CT19" s="21"/>
      <c r="CU19" s="21"/>
      <c r="CV19" s="21"/>
      <c r="CW19" s="21">
        <f>+'[3]Acuerdo PLAN INVERSIÓN 2021'!$H$382</f>
        <v>108000000</v>
      </c>
      <c r="CX19" s="21"/>
      <c r="CY19" s="21"/>
      <c r="CZ19" s="21"/>
      <c r="DA19" s="21"/>
      <c r="DB19" s="21"/>
      <c r="DC19" s="21"/>
      <c r="DD19" s="23">
        <f t="shared" si="8"/>
        <v>2.5981855506306273E-3</v>
      </c>
      <c r="DE19" s="21">
        <f t="shared" si="14"/>
        <v>281335</v>
      </c>
      <c r="DF19" s="21">
        <f t="shared" si="9"/>
        <v>0</v>
      </c>
      <c r="DG19" s="21">
        <f t="shared" si="9"/>
        <v>0</v>
      </c>
      <c r="DH19" s="21">
        <f t="shared" si="9"/>
        <v>0</v>
      </c>
      <c r="DI19" s="21">
        <f t="shared" si="9"/>
        <v>0</v>
      </c>
      <c r="DJ19" s="21">
        <f t="shared" si="9"/>
        <v>0</v>
      </c>
      <c r="DK19" s="21">
        <f t="shared" si="9"/>
        <v>0</v>
      </c>
      <c r="DL19" s="21">
        <f t="shared" si="9"/>
        <v>0</v>
      </c>
      <c r="DM19" s="21">
        <f t="shared" si="9"/>
        <v>0</v>
      </c>
      <c r="DN19" s="21">
        <f t="shared" si="9"/>
        <v>0</v>
      </c>
      <c r="DO19" s="21">
        <f t="shared" si="9"/>
        <v>0</v>
      </c>
      <c r="DP19" s="21">
        <f t="shared" si="9"/>
        <v>0</v>
      </c>
      <c r="DQ19" s="21">
        <f t="shared" si="9"/>
        <v>281335</v>
      </c>
      <c r="DR19" s="21">
        <f t="shared" si="9"/>
        <v>0</v>
      </c>
      <c r="DS19" s="21">
        <f t="shared" si="9"/>
        <v>0</v>
      </c>
      <c r="DT19" s="21">
        <f t="shared" si="9"/>
        <v>0</v>
      </c>
      <c r="DU19" s="21">
        <f t="shared" si="9"/>
        <v>0</v>
      </c>
      <c r="DV19" s="21">
        <f t="shared" si="10"/>
        <v>0</v>
      </c>
      <c r="DW19" s="21">
        <f t="shared" si="10"/>
        <v>0</v>
      </c>
      <c r="DX19" s="21">
        <f t="shared" si="10"/>
        <v>0</v>
      </c>
      <c r="DY19" s="21">
        <f t="shared" si="10"/>
        <v>0</v>
      </c>
      <c r="DZ19" s="21">
        <f t="shared" si="10"/>
        <v>0</v>
      </c>
      <c r="EA19" s="21">
        <f t="shared" si="10"/>
        <v>0</v>
      </c>
      <c r="EB19" s="21">
        <f t="shared" si="10"/>
        <v>0</v>
      </c>
      <c r="ED19" s="27">
        <f t="shared" si="11"/>
        <v>108281335</v>
      </c>
      <c r="EE19" s="27">
        <f t="shared" si="15"/>
        <v>108281335</v>
      </c>
      <c r="EF19" s="27">
        <f t="shared" si="16"/>
        <v>108281335</v>
      </c>
    </row>
    <row r="20" spans="1:137" ht="51" customHeight="1" x14ac:dyDescent="0.3">
      <c r="A20" s="28"/>
      <c r="B20" s="35" t="s">
        <v>87</v>
      </c>
      <c r="C20" s="33" t="s">
        <v>88</v>
      </c>
      <c r="D20" s="29" t="s">
        <v>89</v>
      </c>
      <c r="E20" s="19">
        <v>510</v>
      </c>
      <c r="F20" s="36" t="s">
        <v>90</v>
      </c>
      <c r="G20" s="21">
        <f t="shared" si="0"/>
        <v>18620000</v>
      </c>
      <c r="H20" s="22">
        <v>20000000</v>
      </c>
      <c r="I20" s="22">
        <f t="shared" si="12"/>
        <v>1380000</v>
      </c>
      <c r="J20" s="21"/>
      <c r="K20" s="21">
        <v>12620000</v>
      </c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>
        <v>6000000</v>
      </c>
      <c r="AA20" s="21"/>
      <c r="AB20" s="21"/>
      <c r="AC20" s="21"/>
      <c r="AD20" s="21"/>
      <c r="AE20" s="21"/>
      <c r="AF20" s="21"/>
      <c r="AG20" s="23">
        <f t="shared" si="1"/>
        <v>0</v>
      </c>
      <c r="AH20" s="21">
        <f t="shared" si="2"/>
        <v>0</v>
      </c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21"/>
      <c r="AW20" s="21"/>
      <c r="AX20" s="21"/>
      <c r="AY20" s="21"/>
      <c r="AZ20" s="21"/>
      <c r="BA20" s="21"/>
      <c r="BB20" s="21"/>
      <c r="BC20" s="21"/>
      <c r="BD20" s="21"/>
      <c r="BE20" s="21"/>
      <c r="BF20" s="23">
        <f t="shared" si="13"/>
        <v>1</v>
      </c>
      <c r="BG20" s="21">
        <f t="shared" si="3"/>
        <v>18620000</v>
      </c>
      <c r="BH20" s="21">
        <f t="shared" si="4"/>
        <v>0</v>
      </c>
      <c r="BI20" s="21">
        <f t="shared" si="4"/>
        <v>12620000</v>
      </c>
      <c r="BJ20" s="21">
        <f t="shared" si="4"/>
        <v>0</v>
      </c>
      <c r="BK20" s="21">
        <f t="shared" si="4"/>
        <v>0</v>
      </c>
      <c r="BL20" s="21">
        <f t="shared" si="4"/>
        <v>0</v>
      </c>
      <c r="BM20" s="21">
        <f t="shared" si="4"/>
        <v>0</v>
      </c>
      <c r="BN20" s="21">
        <f t="shared" si="4"/>
        <v>0</v>
      </c>
      <c r="BO20" s="21">
        <f t="shared" si="4"/>
        <v>0</v>
      </c>
      <c r="BP20" s="21">
        <f t="shared" si="4"/>
        <v>0</v>
      </c>
      <c r="BQ20" s="21">
        <f t="shared" si="4"/>
        <v>0</v>
      </c>
      <c r="BR20" s="21">
        <f t="shared" si="4"/>
        <v>0</v>
      </c>
      <c r="BS20" s="21">
        <f t="shared" si="4"/>
        <v>0</v>
      </c>
      <c r="BT20" s="21">
        <f t="shared" si="4"/>
        <v>0</v>
      </c>
      <c r="BU20" s="21">
        <f t="shared" si="4"/>
        <v>0</v>
      </c>
      <c r="BV20" s="21">
        <f t="shared" si="4"/>
        <v>0</v>
      </c>
      <c r="BW20" s="21">
        <f t="shared" si="4"/>
        <v>0</v>
      </c>
      <c r="BX20" s="21">
        <f t="shared" si="5"/>
        <v>6000000</v>
      </c>
      <c r="BY20" s="21">
        <f t="shared" si="5"/>
        <v>0</v>
      </c>
      <c r="BZ20" s="21">
        <f t="shared" si="5"/>
        <v>0</v>
      </c>
      <c r="CA20" s="21">
        <f t="shared" si="5"/>
        <v>0</v>
      </c>
      <c r="CB20" s="21">
        <f t="shared" si="5"/>
        <v>0</v>
      </c>
      <c r="CC20" s="21">
        <f t="shared" si="5"/>
        <v>0</v>
      </c>
      <c r="CD20" s="21">
        <f t="shared" si="5"/>
        <v>0</v>
      </c>
      <c r="CE20" s="23">
        <f t="shared" si="6"/>
        <v>0</v>
      </c>
      <c r="CF20" s="21">
        <f t="shared" si="7"/>
        <v>0</v>
      </c>
      <c r="CG20" s="21"/>
      <c r="CH20" s="21"/>
      <c r="CI20" s="21"/>
      <c r="CJ20" s="21"/>
      <c r="CK20" s="21"/>
      <c r="CL20" s="21"/>
      <c r="CM20" s="21"/>
      <c r="CN20" s="21"/>
      <c r="CO20" s="21"/>
      <c r="CP20" s="21"/>
      <c r="CQ20" s="21"/>
      <c r="CR20" s="21"/>
      <c r="CS20" s="21"/>
      <c r="CT20" s="21"/>
      <c r="CU20" s="21"/>
      <c r="CV20" s="21"/>
      <c r="CW20" s="21"/>
      <c r="CX20" s="21"/>
      <c r="CY20" s="21"/>
      <c r="CZ20" s="21"/>
      <c r="DA20" s="21"/>
      <c r="DB20" s="21"/>
      <c r="DC20" s="21"/>
      <c r="DD20" s="23">
        <f t="shared" si="8"/>
        <v>1</v>
      </c>
      <c r="DE20" s="21">
        <f t="shared" si="14"/>
        <v>18620000</v>
      </c>
      <c r="DF20" s="21">
        <f t="shared" si="9"/>
        <v>0</v>
      </c>
      <c r="DG20" s="21">
        <f t="shared" si="9"/>
        <v>12620000</v>
      </c>
      <c r="DH20" s="21">
        <f t="shared" si="9"/>
        <v>0</v>
      </c>
      <c r="DI20" s="21">
        <f t="shared" si="9"/>
        <v>0</v>
      </c>
      <c r="DJ20" s="21">
        <f t="shared" si="9"/>
        <v>0</v>
      </c>
      <c r="DK20" s="21">
        <f t="shared" si="9"/>
        <v>0</v>
      </c>
      <c r="DL20" s="21">
        <f t="shared" si="9"/>
        <v>0</v>
      </c>
      <c r="DM20" s="21">
        <f t="shared" si="9"/>
        <v>0</v>
      </c>
      <c r="DN20" s="21">
        <f t="shared" si="9"/>
        <v>0</v>
      </c>
      <c r="DO20" s="21">
        <f t="shared" si="9"/>
        <v>0</v>
      </c>
      <c r="DP20" s="21">
        <f t="shared" si="9"/>
        <v>0</v>
      </c>
      <c r="DQ20" s="21">
        <f t="shared" si="9"/>
        <v>0</v>
      </c>
      <c r="DR20" s="21">
        <f t="shared" si="9"/>
        <v>0</v>
      </c>
      <c r="DS20" s="21">
        <f t="shared" si="9"/>
        <v>0</v>
      </c>
      <c r="DT20" s="21">
        <f t="shared" si="9"/>
        <v>0</v>
      </c>
      <c r="DU20" s="21">
        <f t="shared" si="9"/>
        <v>0</v>
      </c>
      <c r="DV20" s="21">
        <f t="shared" si="10"/>
        <v>6000000</v>
      </c>
      <c r="DW20" s="21">
        <f t="shared" si="10"/>
        <v>0</v>
      </c>
      <c r="DX20" s="21">
        <f t="shared" si="10"/>
        <v>0</v>
      </c>
      <c r="DY20" s="21">
        <f t="shared" si="10"/>
        <v>0</v>
      </c>
      <c r="DZ20" s="21">
        <f t="shared" si="10"/>
        <v>0</v>
      </c>
      <c r="EA20" s="21">
        <f t="shared" si="10"/>
        <v>0</v>
      </c>
      <c r="EB20" s="21">
        <f t="shared" si="10"/>
        <v>0</v>
      </c>
      <c r="ED20" s="27">
        <f t="shared" si="11"/>
        <v>18620000</v>
      </c>
      <c r="EE20" s="27">
        <f t="shared" si="15"/>
        <v>18620000</v>
      </c>
      <c r="EF20" s="27">
        <f t="shared" si="16"/>
        <v>18620000</v>
      </c>
    </row>
    <row r="21" spans="1:137" ht="34.5" customHeight="1" x14ac:dyDescent="0.3">
      <c r="A21" s="28"/>
      <c r="B21" s="192" t="s">
        <v>91</v>
      </c>
      <c r="C21" s="33" t="s">
        <v>92</v>
      </c>
      <c r="D21" s="29" t="s">
        <v>93</v>
      </c>
      <c r="E21" s="19">
        <v>510</v>
      </c>
      <c r="F21" s="20" t="s">
        <v>94</v>
      </c>
      <c r="G21" s="21">
        <f t="shared" si="0"/>
        <v>15146334</v>
      </c>
      <c r="H21" s="22">
        <v>20000000</v>
      </c>
      <c r="I21" s="22">
        <f t="shared" si="12"/>
        <v>4853666</v>
      </c>
      <c r="J21" s="21"/>
      <c r="K21" s="21">
        <v>146334</v>
      </c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>
        <v>15000000</v>
      </c>
      <c r="AA21" s="21"/>
      <c r="AB21" s="21"/>
      <c r="AC21" s="21"/>
      <c r="AD21" s="21"/>
      <c r="AE21" s="21"/>
      <c r="AF21" s="21"/>
      <c r="AG21" s="23">
        <f t="shared" si="1"/>
        <v>0.99033865224416684</v>
      </c>
      <c r="AH21" s="21">
        <f t="shared" si="2"/>
        <v>15000000</v>
      </c>
      <c r="AI21" s="21"/>
      <c r="AJ21" s="21"/>
      <c r="AK21" s="21"/>
      <c r="AL21" s="21"/>
      <c r="AM21" s="21"/>
      <c r="AN21" s="21"/>
      <c r="AO21" s="21"/>
      <c r="AP21" s="21"/>
      <c r="AQ21" s="21"/>
      <c r="AR21" s="21"/>
      <c r="AS21" s="21"/>
      <c r="AT21" s="21"/>
      <c r="AU21" s="21"/>
      <c r="AV21" s="21"/>
      <c r="AW21" s="21"/>
      <c r="AX21" s="21"/>
      <c r="AY21" s="21">
        <f>+'[6]Acuerdo PLAN INVERSIÓN 2021'!$AA$241</f>
        <v>15000000</v>
      </c>
      <c r="AZ21" s="21"/>
      <c r="BA21" s="21"/>
      <c r="BB21" s="21"/>
      <c r="BC21" s="21"/>
      <c r="BD21" s="21"/>
      <c r="BE21" s="21"/>
      <c r="BF21" s="23">
        <f t="shared" si="13"/>
        <v>9.6613477558331606E-3</v>
      </c>
      <c r="BG21" s="21">
        <f t="shared" si="3"/>
        <v>146334</v>
      </c>
      <c r="BH21" s="21">
        <f t="shared" si="4"/>
        <v>0</v>
      </c>
      <c r="BI21" s="21">
        <f t="shared" si="4"/>
        <v>146334</v>
      </c>
      <c r="BJ21" s="21">
        <f t="shared" si="4"/>
        <v>0</v>
      </c>
      <c r="BK21" s="21">
        <f t="shared" si="4"/>
        <v>0</v>
      </c>
      <c r="BL21" s="21">
        <f t="shared" si="4"/>
        <v>0</v>
      </c>
      <c r="BM21" s="21">
        <f t="shared" si="4"/>
        <v>0</v>
      </c>
      <c r="BN21" s="21">
        <f t="shared" si="4"/>
        <v>0</v>
      </c>
      <c r="BO21" s="21">
        <f t="shared" si="4"/>
        <v>0</v>
      </c>
      <c r="BP21" s="21">
        <f t="shared" si="4"/>
        <v>0</v>
      </c>
      <c r="BQ21" s="21">
        <f t="shared" si="4"/>
        <v>0</v>
      </c>
      <c r="BR21" s="21">
        <f t="shared" si="4"/>
        <v>0</v>
      </c>
      <c r="BS21" s="21">
        <f t="shared" si="4"/>
        <v>0</v>
      </c>
      <c r="BT21" s="21">
        <f t="shared" si="4"/>
        <v>0</v>
      </c>
      <c r="BU21" s="21">
        <f t="shared" si="4"/>
        <v>0</v>
      </c>
      <c r="BV21" s="21">
        <f t="shared" si="4"/>
        <v>0</v>
      </c>
      <c r="BW21" s="21">
        <f>+Y21-AX21</f>
        <v>0</v>
      </c>
      <c r="BX21" s="21">
        <f t="shared" si="5"/>
        <v>0</v>
      </c>
      <c r="BY21" s="21">
        <f t="shared" si="5"/>
        <v>0</v>
      </c>
      <c r="BZ21" s="21">
        <f t="shared" si="5"/>
        <v>0</v>
      </c>
      <c r="CA21" s="21">
        <f t="shared" si="5"/>
        <v>0</v>
      </c>
      <c r="CB21" s="21">
        <f t="shared" si="5"/>
        <v>0</v>
      </c>
      <c r="CC21" s="21">
        <f t="shared" si="5"/>
        <v>0</v>
      </c>
      <c r="CD21" s="21">
        <f t="shared" si="5"/>
        <v>0</v>
      </c>
      <c r="CE21" s="23">
        <f t="shared" si="6"/>
        <v>0.99033865224416684</v>
      </c>
      <c r="CF21" s="21">
        <f t="shared" si="7"/>
        <v>15000000</v>
      </c>
      <c r="CG21" s="21"/>
      <c r="CH21" s="21"/>
      <c r="CI21" s="21"/>
      <c r="CJ21" s="21"/>
      <c r="CK21" s="21"/>
      <c r="CL21" s="21"/>
      <c r="CM21" s="21"/>
      <c r="CN21" s="21"/>
      <c r="CO21" s="21"/>
      <c r="CP21" s="21"/>
      <c r="CQ21" s="21"/>
      <c r="CR21" s="21"/>
      <c r="CS21" s="21"/>
      <c r="CT21" s="21"/>
      <c r="CU21" s="21"/>
      <c r="CV21" s="21"/>
      <c r="CW21" s="21">
        <f>+'[4]Acuerdo PLAN INVERSIÓN 2021'!$H$277</f>
        <v>15000000</v>
      </c>
      <c r="CX21" s="21"/>
      <c r="CY21" s="21"/>
      <c r="CZ21" s="21"/>
      <c r="DA21" s="21"/>
      <c r="DB21" s="21"/>
      <c r="DC21" s="21"/>
      <c r="DD21" s="23">
        <f t="shared" si="8"/>
        <v>9.6613477558331606E-3</v>
      </c>
      <c r="DE21" s="21">
        <f t="shared" si="14"/>
        <v>146334</v>
      </c>
      <c r="DF21" s="21">
        <f t="shared" si="9"/>
        <v>0</v>
      </c>
      <c r="DG21" s="21">
        <f t="shared" si="9"/>
        <v>146334</v>
      </c>
      <c r="DH21" s="21">
        <f t="shared" si="9"/>
        <v>0</v>
      </c>
      <c r="DI21" s="21">
        <f t="shared" si="9"/>
        <v>0</v>
      </c>
      <c r="DJ21" s="21">
        <f t="shared" si="9"/>
        <v>0</v>
      </c>
      <c r="DK21" s="21">
        <f t="shared" si="9"/>
        <v>0</v>
      </c>
      <c r="DL21" s="21">
        <f t="shared" si="9"/>
        <v>0</v>
      </c>
      <c r="DM21" s="21">
        <f t="shared" si="9"/>
        <v>0</v>
      </c>
      <c r="DN21" s="21">
        <f t="shared" si="9"/>
        <v>0</v>
      </c>
      <c r="DO21" s="21">
        <f t="shared" si="9"/>
        <v>0</v>
      </c>
      <c r="DP21" s="21">
        <f t="shared" si="9"/>
        <v>0</v>
      </c>
      <c r="DQ21" s="21">
        <f t="shared" si="9"/>
        <v>0</v>
      </c>
      <c r="DR21" s="21">
        <f t="shared" si="9"/>
        <v>0</v>
      </c>
      <c r="DS21" s="21">
        <f t="shared" si="9"/>
        <v>0</v>
      </c>
      <c r="DT21" s="21">
        <f t="shared" si="9"/>
        <v>0</v>
      </c>
      <c r="DU21" s="21">
        <f>+Y21-CV21</f>
        <v>0</v>
      </c>
      <c r="DV21" s="21">
        <f t="shared" si="10"/>
        <v>0</v>
      </c>
      <c r="DW21" s="21">
        <f t="shared" si="10"/>
        <v>0</v>
      </c>
      <c r="DX21" s="21">
        <f t="shared" si="10"/>
        <v>0</v>
      </c>
      <c r="DY21" s="21">
        <f t="shared" si="10"/>
        <v>0</v>
      </c>
      <c r="DZ21" s="21">
        <f t="shared" si="10"/>
        <v>0</v>
      </c>
      <c r="EA21" s="21">
        <f t="shared" si="10"/>
        <v>0</v>
      </c>
      <c r="EB21" s="21">
        <f t="shared" si="10"/>
        <v>0</v>
      </c>
      <c r="ED21" s="27">
        <f t="shared" si="11"/>
        <v>15146334</v>
      </c>
      <c r="EE21" s="27">
        <f t="shared" si="15"/>
        <v>15146334</v>
      </c>
      <c r="EF21" s="27">
        <f t="shared" si="16"/>
        <v>15146334</v>
      </c>
    </row>
    <row r="22" spans="1:137" ht="39.75" customHeight="1" x14ac:dyDescent="0.3">
      <c r="A22" s="28"/>
      <c r="B22" s="193"/>
      <c r="C22" s="33" t="s">
        <v>95</v>
      </c>
      <c r="D22" s="29" t="s">
        <v>96</v>
      </c>
      <c r="E22" s="19">
        <v>510</v>
      </c>
      <c r="F22" s="20" t="s">
        <v>97</v>
      </c>
      <c r="G22" s="21">
        <f t="shared" si="0"/>
        <v>98465974</v>
      </c>
      <c r="H22" s="22">
        <v>150000000</v>
      </c>
      <c r="I22" s="22">
        <f t="shared" si="12"/>
        <v>51534026</v>
      </c>
      <c r="J22" s="21"/>
      <c r="K22" s="21">
        <f>65000000+1465974</f>
        <v>66465974</v>
      </c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>
        <f>32000000+5000000-5000000</f>
        <v>32000000</v>
      </c>
      <c r="AG22" s="23">
        <f t="shared" si="1"/>
        <v>0.70793956702241123</v>
      </c>
      <c r="AH22" s="21">
        <f t="shared" si="2"/>
        <v>69707959</v>
      </c>
      <c r="AI22" s="21"/>
      <c r="AJ22" s="21">
        <f>+'[1]Acuerdo PLAN INVERSIÓN 2021'!$J$570</f>
        <v>55163242</v>
      </c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21"/>
      <c r="BD22" s="21"/>
      <c r="BE22" s="21">
        <f>+'[1]Acuerdo PLAN INVERSIÓN 2021'!$AF$570</f>
        <v>14544717</v>
      </c>
      <c r="BF22" s="23">
        <f t="shared" si="13"/>
        <v>0.29206043297758877</v>
      </c>
      <c r="BG22" s="21">
        <f t="shared" si="3"/>
        <v>28758015</v>
      </c>
      <c r="BH22" s="21">
        <f t="shared" ref="BH22:BV23" si="17">+J22-AI22</f>
        <v>0</v>
      </c>
      <c r="BI22" s="21">
        <f t="shared" si="17"/>
        <v>11302732</v>
      </c>
      <c r="BJ22" s="21">
        <f t="shared" si="17"/>
        <v>0</v>
      </c>
      <c r="BK22" s="21">
        <f t="shared" si="17"/>
        <v>0</v>
      </c>
      <c r="BL22" s="21">
        <f t="shared" si="17"/>
        <v>0</v>
      </c>
      <c r="BM22" s="21">
        <f t="shared" si="17"/>
        <v>0</v>
      </c>
      <c r="BN22" s="21">
        <f t="shared" si="17"/>
        <v>0</v>
      </c>
      <c r="BO22" s="21">
        <f t="shared" si="17"/>
        <v>0</v>
      </c>
      <c r="BP22" s="21">
        <f t="shared" si="17"/>
        <v>0</v>
      </c>
      <c r="BQ22" s="21">
        <f t="shared" si="17"/>
        <v>0</v>
      </c>
      <c r="BR22" s="21">
        <f t="shared" si="17"/>
        <v>0</v>
      </c>
      <c r="BS22" s="21">
        <f t="shared" si="17"/>
        <v>0</v>
      </c>
      <c r="BT22" s="21">
        <f t="shared" si="17"/>
        <v>0</v>
      </c>
      <c r="BU22" s="21">
        <f t="shared" si="17"/>
        <v>0</v>
      </c>
      <c r="BV22" s="21">
        <f t="shared" si="17"/>
        <v>0</v>
      </c>
      <c r="BW22" s="21">
        <f>+Y22-AX22</f>
        <v>0</v>
      </c>
      <c r="BX22" s="21">
        <f t="shared" si="5"/>
        <v>0</v>
      </c>
      <c r="BY22" s="21">
        <f t="shared" si="5"/>
        <v>0</v>
      </c>
      <c r="BZ22" s="21">
        <f t="shared" si="5"/>
        <v>0</v>
      </c>
      <c r="CA22" s="21">
        <f t="shared" si="5"/>
        <v>0</v>
      </c>
      <c r="CB22" s="21">
        <f t="shared" si="5"/>
        <v>0</v>
      </c>
      <c r="CC22" s="21">
        <f t="shared" si="5"/>
        <v>0</v>
      </c>
      <c r="CD22" s="21">
        <f t="shared" si="5"/>
        <v>17455283</v>
      </c>
      <c r="CE22" s="23">
        <f t="shared" si="6"/>
        <v>0.70793956702241123</v>
      </c>
      <c r="CF22" s="21">
        <f t="shared" si="7"/>
        <v>69707959</v>
      </c>
      <c r="CG22" s="21"/>
      <c r="CH22" s="21">
        <f>+'[5]Acuerdo PLAN INVERSIÓN 2021'!$H$548+'[5]Acuerdo PLAN INVERSIÓN 2021'!$H$551+'[5]Acuerdo PLAN INVERSIÓN 2021'!$H$565+'[5]Acuerdo PLAN INVERSIÓN 2021'!$H$576</f>
        <v>55163242</v>
      </c>
      <c r="CI22" s="21"/>
      <c r="CJ22" s="21"/>
      <c r="CK22" s="21"/>
      <c r="CL22" s="21"/>
      <c r="CM22" s="21"/>
      <c r="CN22" s="21"/>
      <c r="CO22" s="21"/>
      <c r="CP22" s="21"/>
      <c r="CQ22" s="21"/>
      <c r="CR22" s="21"/>
      <c r="CS22" s="21"/>
      <c r="CT22" s="21"/>
      <c r="CU22" s="21"/>
      <c r="CV22" s="21"/>
      <c r="CW22" s="21"/>
      <c r="CX22" s="21"/>
      <c r="CY22" s="21"/>
      <c r="CZ22" s="21"/>
      <c r="DA22" s="21"/>
      <c r="DB22" s="21"/>
      <c r="DC22" s="21">
        <f>+'[1]Acuerdo PLAN INVERSIÓN 2021'!$AF$570</f>
        <v>14544717</v>
      </c>
      <c r="DD22" s="23">
        <f t="shared" si="8"/>
        <v>0.29206043297758877</v>
      </c>
      <c r="DE22" s="21">
        <f t="shared" si="14"/>
        <v>28758015</v>
      </c>
      <c r="DF22" s="21">
        <f t="shared" ref="DF22:DT23" si="18">+J22-CG22</f>
        <v>0</v>
      </c>
      <c r="DG22" s="21">
        <f t="shared" si="18"/>
        <v>11302732</v>
      </c>
      <c r="DH22" s="21">
        <f t="shared" si="18"/>
        <v>0</v>
      </c>
      <c r="DI22" s="21">
        <f t="shared" si="18"/>
        <v>0</v>
      </c>
      <c r="DJ22" s="21">
        <f t="shared" si="18"/>
        <v>0</v>
      </c>
      <c r="DK22" s="21">
        <f t="shared" si="18"/>
        <v>0</v>
      </c>
      <c r="DL22" s="21">
        <f t="shared" si="18"/>
        <v>0</v>
      </c>
      <c r="DM22" s="21">
        <f t="shared" si="18"/>
        <v>0</v>
      </c>
      <c r="DN22" s="21">
        <f t="shared" si="18"/>
        <v>0</v>
      </c>
      <c r="DO22" s="21">
        <f t="shared" si="18"/>
        <v>0</v>
      </c>
      <c r="DP22" s="21">
        <f t="shared" si="18"/>
        <v>0</v>
      </c>
      <c r="DQ22" s="21">
        <f t="shared" si="18"/>
        <v>0</v>
      </c>
      <c r="DR22" s="21">
        <f t="shared" si="18"/>
        <v>0</v>
      </c>
      <c r="DS22" s="21">
        <f t="shared" si="18"/>
        <v>0</v>
      </c>
      <c r="DT22" s="21">
        <f t="shared" si="18"/>
        <v>0</v>
      </c>
      <c r="DU22" s="21">
        <f>+Y22-CV22</f>
        <v>0</v>
      </c>
      <c r="DV22" s="21">
        <f t="shared" si="10"/>
        <v>0</v>
      </c>
      <c r="DW22" s="21">
        <f t="shared" si="10"/>
        <v>0</v>
      </c>
      <c r="DX22" s="21">
        <f t="shared" si="10"/>
        <v>0</v>
      </c>
      <c r="DY22" s="21">
        <f t="shared" si="10"/>
        <v>0</v>
      </c>
      <c r="DZ22" s="21">
        <f t="shared" si="10"/>
        <v>0</v>
      </c>
      <c r="EA22" s="21">
        <f t="shared" si="10"/>
        <v>0</v>
      </c>
      <c r="EB22" s="21">
        <f t="shared" si="10"/>
        <v>17455283</v>
      </c>
      <c r="ED22" s="27">
        <f t="shared" si="11"/>
        <v>98465974</v>
      </c>
      <c r="EE22" s="27">
        <f t="shared" si="15"/>
        <v>98465974</v>
      </c>
      <c r="EF22" s="27">
        <f t="shared" si="16"/>
        <v>98465974</v>
      </c>
    </row>
    <row r="23" spans="1:137" ht="36" customHeight="1" x14ac:dyDescent="0.3">
      <c r="A23" s="28"/>
      <c r="B23" s="194"/>
      <c r="C23" s="33" t="s">
        <v>98</v>
      </c>
      <c r="D23" s="29" t="s">
        <v>99</v>
      </c>
      <c r="E23" s="19">
        <v>510</v>
      </c>
      <c r="F23" s="20" t="s">
        <v>94</v>
      </c>
      <c r="G23" s="21">
        <f t="shared" si="0"/>
        <v>29046667</v>
      </c>
      <c r="H23" s="22">
        <v>100000000</v>
      </c>
      <c r="I23" s="22">
        <f t="shared" si="12"/>
        <v>70953333</v>
      </c>
      <c r="J23" s="21"/>
      <c r="K23" s="21">
        <v>8227425</v>
      </c>
      <c r="L23" s="21"/>
      <c r="M23" s="21"/>
      <c r="N23" s="21"/>
      <c r="O23" s="21"/>
      <c r="P23" s="21"/>
      <c r="Q23" s="21"/>
      <c r="R23" s="21"/>
      <c r="S23" s="21"/>
      <c r="T23" s="21"/>
      <c r="U23" s="21">
        <v>5819242</v>
      </c>
      <c r="V23" s="21"/>
      <c r="W23" s="21"/>
      <c r="X23" s="21"/>
      <c r="Y23" s="21"/>
      <c r="Z23" s="21">
        <v>15000000</v>
      </c>
      <c r="AA23" s="21"/>
      <c r="AB23" s="21"/>
      <c r="AC23" s="21"/>
      <c r="AD23" s="21"/>
      <c r="AE23" s="21"/>
      <c r="AF23" s="21"/>
      <c r="AG23" s="23">
        <f t="shared" si="1"/>
        <v>0.70644941810363304</v>
      </c>
      <c r="AH23" s="21">
        <f t="shared" si="2"/>
        <v>20520001</v>
      </c>
      <c r="AI23" s="21"/>
      <c r="AJ23" s="21">
        <f>+'[1]Acuerdo PLAN INVERSIÓN 2021'!$J$605</f>
        <v>6114092</v>
      </c>
      <c r="AK23" s="21"/>
      <c r="AL23" s="21"/>
      <c r="AM23" s="21"/>
      <c r="AN23" s="21"/>
      <c r="AO23" s="21"/>
      <c r="AP23" s="21"/>
      <c r="AQ23" s="21"/>
      <c r="AR23" s="21"/>
      <c r="AS23" s="21"/>
      <c r="AT23" s="21">
        <f>+'[10]Acuerdo PLAN INVERSIÓN 2021'!$O$217</f>
        <v>5819242</v>
      </c>
      <c r="AU23" s="21"/>
      <c r="AV23" s="21"/>
      <c r="AW23" s="21"/>
      <c r="AX23" s="21"/>
      <c r="AY23" s="21">
        <f>+'[1]Acuerdo PLAN INVERSIÓN 2021'!$AA$605</f>
        <v>8586667</v>
      </c>
      <c r="AZ23" s="21"/>
      <c r="BA23" s="21"/>
      <c r="BB23" s="21"/>
      <c r="BC23" s="21"/>
      <c r="BD23" s="21"/>
      <c r="BE23" s="21"/>
      <c r="BF23" s="23">
        <f t="shared" si="13"/>
        <v>0.29355058189636696</v>
      </c>
      <c r="BG23" s="21">
        <f t="shared" si="3"/>
        <v>8526666</v>
      </c>
      <c r="BH23" s="21">
        <f t="shared" si="17"/>
        <v>0</v>
      </c>
      <c r="BI23" s="21">
        <f t="shared" si="17"/>
        <v>2113333</v>
      </c>
      <c r="BJ23" s="21">
        <f t="shared" si="17"/>
        <v>0</v>
      </c>
      <c r="BK23" s="21">
        <f t="shared" si="17"/>
        <v>0</v>
      </c>
      <c r="BL23" s="21">
        <f t="shared" si="17"/>
        <v>0</v>
      </c>
      <c r="BM23" s="21">
        <f t="shared" si="17"/>
        <v>0</v>
      </c>
      <c r="BN23" s="21">
        <f t="shared" si="17"/>
        <v>0</v>
      </c>
      <c r="BO23" s="21">
        <f t="shared" si="17"/>
        <v>0</v>
      </c>
      <c r="BP23" s="21">
        <f t="shared" si="17"/>
        <v>0</v>
      </c>
      <c r="BQ23" s="21">
        <f t="shared" si="17"/>
        <v>0</v>
      </c>
      <c r="BR23" s="21">
        <f t="shared" si="17"/>
        <v>0</v>
      </c>
      <c r="BS23" s="21">
        <f t="shared" si="17"/>
        <v>0</v>
      </c>
      <c r="BT23" s="21">
        <f t="shared" si="17"/>
        <v>0</v>
      </c>
      <c r="BU23" s="21">
        <f t="shared" si="17"/>
        <v>0</v>
      </c>
      <c r="BV23" s="21">
        <f t="shared" si="17"/>
        <v>0</v>
      </c>
      <c r="BW23" s="21">
        <f>+Y23-AX23</f>
        <v>0</v>
      </c>
      <c r="BX23" s="21">
        <f t="shared" si="5"/>
        <v>6413333</v>
      </c>
      <c r="BY23" s="21">
        <f t="shared" si="5"/>
        <v>0</v>
      </c>
      <c r="BZ23" s="21">
        <f t="shared" si="5"/>
        <v>0</v>
      </c>
      <c r="CA23" s="21">
        <f t="shared" si="5"/>
        <v>0</v>
      </c>
      <c r="CB23" s="21">
        <f t="shared" si="5"/>
        <v>0</v>
      </c>
      <c r="CC23" s="21">
        <f t="shared" si="5"/>
        <v>0</v>
      </c>
      <c r="CD23" s="21">
        <f t="shared" si="5"/>
        <v>0</v>
      </c>
      <c r="CE23" s="23">
        <f t="shared" si="6"/>
        <v>0.70644941810363304</v>
      </c>
      <c r="CF23" s="21">
        <f t="shared" si="7"/>
        <v>20520001</v>
      </c>
      <c r="CG23" s="21"/>
      <c r="CH23" s="21">
        <f>+'[11]Acuerdo PLAN INVERSIÓN 2021'!$H$253</f>
        <v>6114092</v>
      </c>
      <c r="CI23" s="21"/>
      <c r="CJ23" s="21"/>
      <c r="CK23" s="21"/>
      <c r="CL23" s="21"/>
      <c r="CM23" s="21"/>
      <c r="CN23" s="21"/>
      <c r="CO23" s="21"/>
      <c r="CP23" s="21"/>
      <c r="CQ23" s="21"/>
      <c r="CR23" s="21">
        <f>+'[11]Acuerdo PLAN INVERSIÓN 2021'!$H$249</f>
        <v>5819242</v>
      </c>
      <c r="CS23" s="21"/>
      <c r="CT23" s="21"/>
      <c r="CU23" s="21"/>
      <c r="CV23" s="21"/>
      <c r="CW23" s="21">
        <f>+'[5]Acuerdo PLAN INVERSIÓN 2021'!$H$590</f>
        <v>8586667</v>
      </c>
      <c r="CX23" s="21"/>
      <c r="CY23" s="21"/>
      <c r="CZ23" s="21"/>
      <c r="DA23" s="21"/>
      <c r="DB23" s="21"/>
      <c r="DC23" s="21"/>
      <c r="DD23" s="23">
        <f t="shared" si="8"/>
        <v>0.29355058189636696</v>
      </c>
      <c r="DE23" s="21">
        <f t="shared" si="14"/>
        <v>8526666</v>
      </c>
      <c r="DF23" s="21">
        <f t="shared" si="18"/>
        <v>0</v>
      </c>
      <c r="DG23" s="21">
        <f t="shared" si="18"/>
        <v>2113333</v>
      </c>
      <c r="DH23" s="21">
        <f t="shared" si="18"/>
        <v>0</v>
      </c>
      <c r="DI23" s="21">
        <f t="shared" si="18"/>
        <v>0</v>
      </c>
      <c r="DJ23" s="21">
        <f t="shared" si="18"/>
        <v>0</v>
      </c>
      <c r="DK23" s="21">
        <f t="shared" si="18"/>
        <v>0</v>
      </c>
      <c r="DL23" s="21">
        <f t="shared" si="18"/>
        <v>0</v>
      </c>
      <c r="DM23" s="21">
        <f t="shared" si="18"/>
        <v>0</v>
      </c>
      <c r="DN23" s="21">
        <f t="shared" si="18"/>
        <v>0</v>
      </c>
      <c r="DO23" s="21">
        <f t="shared" si="18"/>
        <v>0</v>
      </c>
      <c r="DP23" s="21">
        <f t="shared" si="18"/>
        <v>0</v>
      </c>
      <c r="DQ23" s="21">
        <f t="shared" si="18"/>
        <v>0</v>
      </c>
      <c r="DR23" s="21">
        <f t="shared" si="18"/>
        <v>0</v>
      </c>
      <c r="DS23" s="21">
        <f t="shared" si="18"/>
        <v>0</v>
      </c>
      <c r="DT23" s="21">
        <f t="shared" si="18"/>
        <v>0</v>
      </c>
      <c r="DU23" s="21">
        <f>+Y23-CV23</f>
        <v>0</v>
      </c>
      <c r="DV23" s="21">
        <f t="shared" si="10"/>
        <v>6413333</v>
      </c>
      <c r="DW23" s="21">
        <f t="shared" si="10"/>
        <v>0</v>
      </c>
      <c r="DX23" s="21">
        <f t="shared" si="10"/>
        <v>0</v>
      </c>
      <c r="DY23" s="21">
        <f t="shared" si="10"/>
        <v>0</v>
      </c>
      <c r="DZ23" s="21">
        <f t="shared" si="10"/>
        <v>0</v>
      </c>
      <c r="EA23" s="21">
        <f t="shared" si="10"/>
        <v>0</v>
      </c>
      <c r="EB23" s="21">
        <f t="shared" si="10"/>
        <v>0</v>
      </c>
      <c r="ED23" s="27">
        <f t="shared" si="11"/>
        <v>29046667</v>
      </c>
      <c r="EE23" s="27">
        <f t="shared" si="15"/>
        <v>29046667</v>
      </c>
      <c r="EF23" s="27">
        <f t="shared" si="16"/>
        <v>29046667</v>
      </c>
    </row>
    <row r="24" spans="1:137" s="38" customFormat="1" ht="17.25" customHeight="1" thickBot="1" x14ac:dyDescent="0.35">
      <c r="A24" s="37"/>
      <c r="B24" s="195" t="s">
        <v>100</v>
      </c>
      <c r="C24" s="195"/>
      <c r="D24" s="195"/>
      <c r="E24" s="195"/>
      <c r="F24" s="118"/>
      <c r="G24" s="119">
        <f t="shared" ref="G24:AF24" si="19">SUM(G6:G23)</f>
        <v>2672814183</v>
      </c>
      <c r="H24" s="120">
        <f t="shared" si="19"/>
        <v>2981877636</v>
      </c>
      <c r="I24" s="120">
        <f t="shared" si="19"/>
        <v>309063453</v>
      </c>
      <c r="J24" s="119">
        <f t="shared" si="19"/>
        <v>0</v>
      </c>
      <c r="K24" s="119">
        <f t="shared" si="19"/>
        <v>462145120</v>
      </c>
      <c r="L24" s="119">
        <f t="shared" si="19"/>
        <v>0</v>
      </c>
      <c r="M24" s="119">
        <f t="shared" si="19"/>
        <v>592050814</v>
      </c>
      <c r="N24" s="119">
        <f t="shared" si="19"/>
        <v>0</v>
      </c>
      <c r="O24" s="119">
        <f t="shared" si="19"/>
        <v>0</v>
      </c>
      <c r="P24" s="119">
        <f t="shared" si="19"/>
        <v>0</v>
      </c>
      <c r="Q24" s="119">
        <f t="shared" si="19"/>
        <v>0</v>
      </c>
      <c r="R24" s="119">
        <f t="shared" si="19"/>
        <v>0</v>
      </c>
      <c r="S24" s="119">
        <f t="shared" si="19"/>
        <v>0</v>
      </c>
      <c r="T24" s="119">
        <f t="shared" si="19"/>
        <v>0</v>
      </c>
      <c r="U24" s="119">
        <f t="shared" si="19"/>
        <v>31272076</v>
      </c>
      <c r="V24" s="119">
        <f t="shared" si="19"/>
        <v>0</v>
      </c>
      <c r="W24" s="119">
        <f t="shared" si="19"/>
        <v>0</v>
      </c>
      <c r="X24" s="119">
        <f t="shared" si="19"/>
        <v>0</v>
      </c>
      <c r="Y24" s="119">
        <f t="shared" si="19"/>
        <v>0</v>
      </c>
      <c r="Z24" s="119">
        <f t="shared" si="19"/>
        <v>752000000</v>
      </c>
      <c r="AA24" s="119">
        <f t="shared" si="19"/>
        <v>13636130</v>
      </c>
      <c r="AB24" s="119">
        <f t="shared" si="19"/>
        <v>97168075</v>
      </c>
      <c r="AC24" s="119">
        <f t="shared" si="19"/>
        <v>0</v>
      </c>
      <c r="AD24" s="119">
        <f t="shared" si="19"/>
        <v>0</v>
      </c>
      <c r="AE24" s="119">
        <f t="shared" si="19"/>
        <v>422607964</v>
      </c>
      <c r="AF24" s="119">
        <f t="shared" si="19"/>
        <v>301934004</v>
      </c>
      <c r="AG24" s="121">
        <f t="shared" si="1"/>
        <v>0.56017603300782848</v>
      </c>
      <c r="AH24" s="122">
        <f>SUM(AH6:AH23)</f>
        <v>1497246446</v>
      </c>
      <c r="AI24" s="122">
        <f t="shared" ref="AI24:BE24" si="20">SUM(AI6:AI23)</f>
        <v>0</v>
      </c>
      <c r="AJ24" s="122">
        <f t="shared" si="20"/>
        <v>319274535</v>
      </c>
      <c r="AK24" s="122">
        <f t="shared" si="20"/>
        <v>0</v>
      </c>
      <c r="AL24" s="122">
        <f t="shared" si="20"/>
        <v>447284183</v>
      </c>
      <c r="AM24" s="122">
        <f t="shared" si="20"/>
        <v>0</v>
      </c>
      <c r="AN24" s="122">
        <f t="shared" si="20"/>
        <v>0</v>
      </c>
      <c r="AO24" s="122">
        <f t="shared" si="20"/>
        <v>0</v>
      </c>
      <c r="AP24" s="122">
        <f t="shared" si="20"/>
        <v>0</v>
      </c>
      <c r="AQ24" s="122">
        <f t="shared" si="20"/>
        <v>0</v>
      </c>
      <c r="AR24" s="122">
        <f t="shared" si="20"/>
        <v>0</v>
      </c>
      <c r="AS24" s="122">
        <f t="shared" si="20"/>
        <v>0</v>
      </c>
      <c r="AT24" s="122">
        <f t="shared" si="20"/>
        <v>23994049</v>
      </c>
      <c r="AU24" s="122">
        <f t="shared" si="20"/>
        <v>0</v>
      </c>
      <c r="AV24" s="122">
        <f t="shared" si="20"/>
        <v>0</v>
      </c>
      <c r="AW24" s="122">
        <f t="shared" si="20"/>
        <v>0</v>
      </c>
      <c r="AX24" s="122">
        <f t="shared" si="20"/>
        <v>0</v>
      </c>
      <c r="AY24" s="122">
        <f t="shared" si="20"/>
        <v>404943283</v>
      </c>
      <c r="AZ24" s="122">
        <f t="shared" si="20"/>
        <v>0</v>
      </c>
      <c r="BA24" s="122">
        <f t="shared" si="20"/>
        <v>87703330</v>
      </c>
      <c r="BB24" s="122">
        <f t="shared" si="20"/>
        <v>0</v>
      </c>
      <c r="BC24" s="122">
        <f t="shared" si="20"/>
        <v>0</v>
      </c>
      <c r="BD24" s="122">
        <f t="shared" si="20"/>
        <v>0</v>
      </c>
      <c r="BE24" s="122">
        <f t="shared" si="20"/>
        <v>214047066</v>
      </c>
      <c r="BF24" s="123">
        <f t="shared" si="13"/>
        <v>0.43982396699217152</v>
      </c>
      <c r="BG24" s="122">
        <f t="shared" ref="BG24:DC24" si="21">SUM(BG6:BG23)</f>
        <v>1175567737</v>
      </c>
      <c r="BH24" s="122">
        <f t="shared" si="21"/>
        <v>0</v>
      </c>
      <c r="BI24" s="122">
        <f t="shared" si="21"/>
        <v>142870585</v>
      </c>
      <c r="BJ24" s="122">
        <f t="shared" si="21"/>
        <v>0</v>
      </c>
      <c r="BK24" s="122">
        <f t="shared" si="21"/>
        <v>144766631</v>
      </c>
      <c r="BL24" s="122">
        <f t="shared" si="21"/>
        <v>0</v>
      </c>
      <c r="BM24" s="122">
        <f t="shared" si="21"/>
        <v>0</v>
      </c>
      <c r="BN24" s="122">
        <f t="shared" si="21"/>
        <v>0</v>
      </c>
      <c r="BO24" s="122">
        <f t="shared" si="21"/>
        <v>0</v>
      </c>
      <c r="BP24" s="122">
        <f t="shared" si="21"/>
        <v>0</v>
      </c>
      <c r="BQ24" s="122">
        <f t="shared" si="21"/>
        <v>0</v>
      </c>
      <c r="BR24" s="122">
        <f t="shared" si="21"/>
        <v>0</v>
      </c>
      <c r="BS24" s="122">
        <f t="shared" si="21"/>
        <v>7278027</v>
      </c>
      <c r="BT24" s="122">
        <f t="shared" si="21"/>
        <v>0</v>
      </c>
      <c r="BU24" s="122">
        <f t="shared" si="21"/>
        <v>0</v>
      </c>
      <c r="BV24" s="122">
        <f t="shared" si="21"/>
        <v>0</v>
      </c>
      <c r="BW24" s="122">
        <f t="shared" si="21"/>
        <v>0</v>
      </c>
      <c r="BX24" s="122">
        <f t="shared" si="21"/>
        <v>347056717</v>
      </c>
      <c r="BY24" s="122">
        <f t="shared" si="21"/>
        <v>13636130</v>
      </c>
      <c r="BZ24" s="122">
        <f t="shared" si="21"/>
        <v>9464745</v>
      </c>
      <c r="CA24" s="122">
        <f t="shared" si="21"/>
        <v>0</v>
      </c>
      <c r="CB24" s="122">
        <f t="shared" si="21"/>
        <v>0</v>
      </c>
      <c r="CC24" s="122">
        <f t="shared" si="21"/>
        <v>422607964</v>
      </c>
      <c r="CD24" s="122">
        <f t="shared" si="21"/>
        <v>87886938</v>
      </c>
      <c r="CE24" s="123">
        <f t="shared" si="6"/>
        <v>0.56017603300782848</v>
      </c>
      <c r="CF24" s="122">
        <f t="shared" si="21"/>
        <v>1497246446</v>
      </c>
      <c r="CG24" s="122">
        <f t="shared" si="21"/>
        <v>0</v>
      </c>
      <c r="CH24" s="122">
        <f t="shared" si="21"/>
        <v>319274535</v>
      </c>
      <c r="CI24" s="122">
        <f t="shared" si="21"/>
        <v>0</v>
      </c>
      <c r="CJ24" s="122">
        <f t="shared" si="21"/>
        <v>447284183</v>
      </c>
      <c r="CK24" s="122">
        <f t="shared" si="21"/>
        <v>0</v>
      </c>
      <c r="CL24" s="122">
        <f t="shared" si="21"/>
        <v>0</v>
      </c>
      <c r="CM24" s="122">
        <f t="shared" si="21"/>
        <v>0</v>
      </c>
      <c r="CN24" s="122">
        <f t="shared" si="21"/>
        <v>0</v>
      </c>
      <c r="CO24" s="122">
        <f t="shared" si="21"/>
        <v>0</v>
      </c>
      <c r="CP24" s="122">
        <f t="shared" si="21"/>
        <v>0</v>
      </c>
      <c r="CQ24" s="122">
        <f t="shared" si="21"/>
        <v>0</v>
      </c>
      <c r="CR24" s="122">
        <f t="shared" si="21"/>
        <v>23994049</v>
      </c>
      <c r="CS24" s="122">
        <f t="shared" si="21"/>
        <v>0</v>
      </c>
      <c r="CT24" s="122">
        <f t="shared" si="21"/>
        <v>0</v>
      </c>
      <c r="CU24" s="122">
        <f t="shared" si="21"/>
        <v>0</v>
      </c>
      <c r="CV24" s="122">
        <f t="shared" si="21"/>
        <v>0</v>
      </c>
      <c r="CW24" s="122">
        <f t="shared" si="21"/>
        <v>404943283</v>
      </c>
      <c r="CX24" s="122">
        <f t="shared" si="21"/>
        <v>0</v>
      </c>
      <c r="CY24" s="122">
        <f t="shared" si="21"/>
        <v>87703330</v>
      </c>
      <c r="CZ24" s="122">
        <f t="shared" si="21"/>
        <v>0</v>
      </c>
      <c r="DA24" s="122">
        <f t="shared" si="21"/>
        <v>0</v>
      </c>
      <c r="DB24" s="122">
        <f t="shared" si="21"/>
        <v>0</v>
      </c>
      <c r="DC24" s="122">
        <f t="shared" si="21"/>
        <v>214047066</v>
      </c>
      <c r="DD24" s="123">
        <f t="shared" si="8"/>
        <v>0.43982396699217152</v>
      </c>
      <c r="DE24" s="122">
        <f>SUM(DE6:DE23)</f>
        <v>1175567737</v>
      </c>
      <c r="DF24" s="122">
        <f t="shared" ref="DF24:EB24" si="22">SUM(DF6:DF23)</f>
        <v>0</v>
      </c>
      <c r="DG24" s="122">
        <f t="shared" si="22"/>
        <v>142870585</v>
      </c>
      <c r="DH24" s="122">
        <f t="shared" si="22"/>
        <v>0</v>
      </c>
      <c r="DI24" s="122">
        <f t="shared" si="22"/>
        <v>144766631</v>
      </c>
      <c r="DJ24" s="122">
        <f t="shared" si="22"/>
        <v>0</v>
      </c>
      <c r="DK24" s="122">
        <f t="shared" si="22"/>
        <v>0</v>
      </c>
      <c r="DL24" s="122">
        <f t="shared" si="22"/>
        <v>0</v>
      </c>
      <c r="DM24" s="122">
        <f t="shared" si="22"/>
        <v>0</v>
      </c>
      <c r="DN24" s="122">
        <f t="shared" si="22"/>
        <v>0</v>
      </c>
      <c r="DO24" s="122">
        <f t="shared" si="22"/>
        <v>0</v>
      </c>
      <c r="DP24" s="122">
        <f t="shared" si="22"/>
        <v>0</v>
      </c>
      <c r="DQ24" s="122">
        <f t="shared" si="22"/>
        <v>7278027</v>
      </c>
      <c r="DR24" s="122">
        <f t="shared" si="22"/>
        <v>0</v>
      </c>
      <c r="DS24" s="122">
        <f t="shared" si="22"/>
        <v>0</v>
      </c>
      <c r="DT24" s="122">
        <f t="shared" si="22"/>
        <v>0</v>
      </c>
      <c r="DU24" s="122">
        <f t="shared" si="22"/>
        <v>0</v>
      </c>
      <c r="DV24" s="122">
        <f t="shared" si="22"/>
        <v>347056717</v>
      </c>
      <c r="DW24" s="122">
        <f t="shared" si="22"/>
        <v>13636130</v>
      </c>
      <c r="DX24" s="122">
        <f t="shared" si="22"/>
        <v>9464745</v>
      </c>
      <c r="DY24" s="122">
        <f t="shared" si="22"/>
        <v>0</v>
      </c>
      <c r="DZ24" s="122">
        <f t="shared" si="22"/>
        <v>0</v>
      </c>
      <c r="EA24" s="122">
        <f t="shared" si="22"/>
        <v>422607964</v>
      </c>
      <c r="EB24" s="122">
        <f t="shared" si="22"/>
        <v>87886938</v>
      </c>
      <c r="ED24" s="27">
        <f t="shared" si="11"/>
        <v>2672814183</v>
      </c>
      <c r="EE24" s="27">
        <f t="shared" si="15"/>
        <v>2672814183</v>
      </c>
      <c r="EF24" s="27">
        <f t="shared" si="16"/>
        <v>2672814183</v>
      </c>
      <c r="EG24" s="39"/>
    </row>
    <row r="25" spans="1:137" ht="25.5" customHeight="1" thickTop="1" x14ac:dyDescent="0.3">
      <c r="A25" s="40" t="s">
        <v>101</v>
      </c>
      <c r="B25" s="171" t="s">
        <v>102</v>
      </c>
      <c r="C25" s="17" t="s">
        <v>103</v>
      </c>
      <c r="D25" s="18" t="s">
        <v>104</v>
      </c>
      <c r="E25" s="19">
        <v>410</v>
      </c>
      <c r="F25" s="20" t="s">
        <v>105</v>
      </c>
      <c r="G25" s="21">
        <f t="shared" ref="G25:G49" si="23">SUM(J25:AF25)</f>
        <v>116200000</v>
      </c>
      <c r="H25" s="22">
        <v>157000000</v>
      </c>
      <c r="I25" s="22">
        <f>H25-G25</f>
        <v>40800000</v>
      </c>
      <c r="J25" s="21"/>
      <c r="K25" s="21"/>
      <c r="L25" s="21"/>
      <c r="M25" s="21"/>
      <c r="N25" s="21"/>
      <c r="O25" s="21"/>
      <c r="P25" s="21"/>
      <c r="Q25" s="21">
        <f>30000000+14200000</f>
        <v>44200000</v>
      </c>
      <c r="R25" s="21">
        <f>7000000+20000000</f>
        <v>27000000</v>
      </c>
      <c r="S25" s="21">
        <f>10000000+10000000</f>
        <v>20000000</v>
      </c>
      <c r="T25" s="21">
        <v>10000000</v>
      </c>
      <c r="U25" s="41"/>
      <c r="V25" s="41"/>
      <c r="W25" s="41"/>
      <c r="X25" s="41">
        <f>15000000</f>
        <v>15000000</v>
      </c>
      <c r="Y25" s="41"/>
      <c r="Z25" s="21"/>
      <c r="AA25" s="41"/>
      <c r="AB25" s="41"/>
      <c r="AC25" s="41"/>
      <c r="AD25" s="41"/>
      <c r="AE25" s="41"/>
      <c r="AF25" s="41"/>
      <c r="AG25" s="42">
        <f t="shared" si="1"/>
        <v>0.48539991394148019</v>
      </c>
      <c r="AH25" s="21">
        <f t="shared" ref="AH25:AH49" si="24">SUM(AI25:BE25)</f>
        <v>56403470</v>
      </c>
      <c r="AI25" s="21"/>
      <c r="AJ25" s="21"/>
      <c r="AK25" s="21"/>
      <c r="AL25" s="21"/>
      <c r="AM25" s="21"/>
      <c r="AN25" s="21"/>
      <c r="AO25" s="21"/>
      <c r="AP25" s="21">
        <f>+'[1]Acuerdo PLAN INVERSIÓN 2021'!$S$630</f>
        <v>40346480</v>
      </c>
      <c r="AQ25" s="21">
        <f>+'[1]Acuerdo PLAN INVERSIÓN 2021'!$T$630</f>
        <v>6403666</v>
      </c>
      <c r="AR25" s="21">
        <f>+'[1]Acuerdo PLAN INVERSIÓN 2021'!$U$630</f>
        <v>4432162</v>
      </c>
      <c r="AS25" s="21">
        <f>+'[1]Acuerdo PLAN INVERSIÓN 2021'!$V$630</f>
        <v>4432162</v>
      </c>
      <c r="AT25" s="21"/>
      <c r="AU25" s="21"/>
      <c r="AV25" s="21"/>
      <c r="AW25" s="21">
        <f>+'[1]Acuerdo PLAN INVERSIÓN 2021'!$Q$630</f>
        <v>789000</v>
      </c>
      <c r="AX25" s="21"/>
      <c r="AY25" s="21"/>
      <c r="AZ25" s="21"/>
      <c r="BA25" s="21"/>
      <c r="BB25" s="21"/>
      <c r="BC25" s="21"/>
      <c r="BD25" s="21"/>
      <c r="BE25" s="21"/>
      <c r="BF25" s="42">
        <f t="shared" si="13"/>
        <v>0.51460008605851981</v>
      </c>
      <c r="BG25" s="21">
        <f t="shared" ref="BG25:BG49" si="25">SUM(BH25:CD25)</f>
        <v>59796530</v>
      </c>
      <c r="BH25" s="21">
        <f t="shared" ref="BH25:BW40" si="26">+J25-AI25</f>
        <v>0</v>
      </c>
      <c r="BI25" s="21">
        <f t="shared" si="26"/>
        <v>0</v>
      </c>
      <c r="BJ25" s="21">
        <f t="shared" si="26"/>
        <v>0</v>
      </c>
      <c r="BK25" s="21">
        <f t="shared" si="26"/>
        <v>0</v>
      </c>
      <c r="BL25" s="21">
        <f t="shared" si="26"/>
        <v>0</v>
      </c>
      <c r="BM25" s="21">
        <f t="shared" si="26"/>
        <v>0</v>
      </c>
      <c r="BN25" s="21">
        <f t="shared" si="26"/>
        <v>0</v>
      </c>
      <c r="BO25" s="21">
        <f t="shared" si="26"/>
        <v>3853520</v>
      </c>
      <c r="BP25" s="21">
        <f t="shared" si="26"/>
        <v>20596334</v>
      </c>
      <c r="BQ25" s="21">
        <f t="shared" si="26"/>
        <v>15567838</v>
      </c>
      <c r="BR25" s="21">
        <f t="shared" si="26"/>
        <v>5567838</v>
      </c>
      <c r="BS25" s="21">
        <f t="shared" si="26"/>
        <v>0</v>
      </c>
      <c r="BT25" s="21">
        <f t="shared" si="26"/>
        <v>0</v>
      </c>
      <c r="BU25" s="21">
        <f t="shared" si="26"/>
        <v>0</v>
      </c>
      <c r="BV25" s="21">
        <f t="shared" si="26"/>
        <v>14211000</v>
      </c>
      <c r="BW25" s="21">
        <f t="shared" si="26"/>
        <v>0</v>
      </c>
      <c r="BX25" s="21">
        <f t="shared" ref="BX25:CD49" si="27">+Z25-AY25</f>
        <v>0</v>
      </c>
      <c r="BY25" s="21">
        <f t="shared" si="27"/>
        <v>0</v>
      </c>
      <c r="BZ25" s="21">
        <f t="shared" si="27"/>
        <v>0</v>
      </c>
      <c r="CA25" s="21">
        <f t="shared" si="27"/>
        <v>0</v>
      </c>
      <c r="CB25" s="21">
        <f t="shared" si="27"/>
        <v>0</v>
      </c>
      <c r="CC25" s="21">
        <f t="shared" si="27"/>
        <v>0</v>
      </c>
      <c r="CD25" s="21">
        <f t="shared" si="27"/>
        <v>0</v>
      </c>
      <c r="CE25" s="42">
        <f t="shared" si="6"/>
        <v>0.48539991394148019</v>
      </c>
      <c r="CF25" s="43">
        <f t="shared" ref="CF25:CF49" si="28">SUM(CG25:DC25)</f>
        <v>56403470</v>
      </c>
      <c r="CG25" s="43"/>
      <c r="CH25" s="43"/>
      <c r="CI25" s="43"/>
      <c r="CJ25" s="43"/>
      <c r="CK25" s="43"/>
      <c r="CL25" s="43"/>
      <c r="CM25" s="43"/>
      <c r="CN25" s="21">
        <f>+'[1]Acuerdo PLAN INVERSIÓN 2021'!$S$630</f>
        <v>40346480</v>
      </c>
      <c r="CO25" s="21">
        <f>+'[1]Acuerdo PLAN INVERSIÓN 2021'!$T$630</f>
        <v>6403666</v>
      </c>
      <c r="CP25" s="21">
        <f>+'[1]Acuerdo PLAN INVERSIÓN 2021'!$U$630</f>
        <v>4432162</v>
      </c>
      <c r="CQ25" s="21">
        <f>+'[1]Acuerdo PLAN INVERSIÓN 2021'!$V$630</f>
        <v>4432162</v>
      </c>
      <c r="CR25" s="21"/>
      <c r="CS25" s="21"/>
      <c r="CT25" s="21"/>
      <c r="CU25" s="21">
        <f>+'[1]Acuerdo PLAN INVERSIÓN 2021'!$Q$630</f>
        <v>789000</v>
      </c>
      <c r="CV25" s="21"/>
      <c r="CW25" s="21"/>
      <c r="CX25" s="21"/>
      <c r="CY25" s="21"/>
      <c r="CZ25" s="21"/>
      <c r="DA25" s="21"/>
      <c r="DB25" s="21"/>
      <c r="DC25" s="43"/>
      <c r="DD25" s="42">
        <f t="shared" si="8"/>
        <v>0.51460008605851981</v>
      </c>
      <c r="DE25" s="21">
        <f t="shared" ref="DE25:DE49" si="29">SUM(DF25:EB25)</f>
        <v>59796530</v>
      </c>
      <c r="DF25" s="21">
        <f t="shared" ref="DF25:DU40" si="30">+J25-CG25</f>
        <v>0</v>
      </c>
      <c r="DG25" s="21">
        <f t="shared" si="30"/>
        <v>0</v>
      </c>
      <c r="DH25" s="21">
        <f t="shared" si="30"/>
        <v>0</v>
      </c>
      <c r="DI25" s="21">
        <f t="shared" si="30"/>
        <v>0</v>
      </c>
      <c r="DJ25" s="21">
        <f t="shared" si="30"/>
        <v>0</v>
      </c>
      <c r="DK25" s="21">
        <f t="shared" si="30"/>
        <v>0</v>
      </c>
      <c r="DL25" s="21">
        <f t="shared" si="30"/>
        <v>0</v>
      </c>
      <c r="DM25" s="21">
        <f t="shared" si="30"/>
        <v>3853520</v>
      </c>
      <c r="DN25" s="21">
        <f t="shared" si="30"/>
        <v>20596334</v>
      </c>
      <c r="DO25" s="21">
        <f t="shared" si="30"/>
        <v>15567838</v>
      </c>
      <c r="DP25" s="21">
        <f t="shared" si="30"/>
        <v>5567838</v>
      </c>
      <c r="DQ25" s="21">
        <f t="shared" si="30"/>
        <v>0</v>
      </c>
      <c r="DR25" s="21">
        <f t="shared" si="30"/>
        <v>0</v>
      </c>
      <c r="DS25" s="21">
        <f t="shared" si="30"/>
        <v>0</v>
      </c>
      <c r="DT25" s="21">
        <f t="shared" si="30"/>
        <v>14211000</v>
      </c>
      <c r="DU25" s="21">
        <f t="shared" si="30"/>
        <v>0</v>
      </c>
      <c r="DV25" s="21">
        <f t="shared" ref="DV25:EB49" si="31">+Z25-CW25</f>
        <v>0</v>
      </c>
      <c r="DW25" s="21">
        <f t="shared" si="31"/>
        <v>0</v>
      </c>
      <c r="DX25" s="21">
        <f t="shared" si="31"/>
        <v>0</v>
      </c>
      <c r="DY25" s="21">
        <f t="shared" si="31"/>
        <v>0</v>
      </c>
      <c r="DZ25" s="21">
        <f t="shared" si="31"/>
        <v>0</v>
      </c>
      <c r="EA25" s="21">
        <f t="shared" si="31"/>
        <v>0</v>
      </c>
      <c r="EB25" s="21">
        <f t="shared" si="31"/>
        <v>0</v>
      </c>
      <c r="ED25" s="27">
        <f t="shared" si="11"/>
        <v>116200000</v>
      </c>
      <c r="EE25" s="27">
        <f t="shared" si="15"/>
        <v>116200000</v>
      </c>
      <c r="EF25" s="27">
        <f t="shared" si="16"/>
        <v>116200000</v>
      </c>
    </row>
    <row r="26" spans="1:137" ht="21" customHeight="1" x14ac:dyDescent="0.3">
      <c r="A26" s="28"/>
      <c r="B26" s="173"/>
      <c r="C26" s="17" t="s">
        <v>106</v>
      </c>
      <c r="D26" s="29" t="s">
        <v>107</v>
      </c>
      <c r="E26" s="19">
        <v>410</v>
      </c>
      <c r="F26" s="20" t="s">
        <v>105</v>
      </c>
      <c r="G26" s="21">
        <f t="shared" si="23"/>
        <v>13000000</v>
      </c>
      <c r="H26" s="22">
        <v>38400000</v>
      </c>
      <c r="I26" s="22">
        <f t="shared" ref="I26:I49" si="32">H26-G26</f>
        <v>25400000</v>
      </c>
      <c r="J26" s="21"/>
      <c r="K26" s="21">
        <v>10000000</v>
      </c>
      <c r="L26" s="21"/>
      <c r="M26" s="21"/>
      <c r="N26" s="21"/>
      <c r="O26" s="21"/>
      <c r="P26" s="21"/>
      <c r="Q26" s="21">
        <f>3000000</f>
        <v>3000000</v>
      </c>
      <c r="R26" s="41"/>
      <c r="S26" s="41"/>
      <c r="T26" s="41"/>
      <c r="U26" s="21"/>
      <c r="V26" s="21"/>
      <c r="W26" s="21"/>
      <c r="X26" s="21"/>
      <c r="Y26" s="21"/>
      <c r="Z26" s="21"/>
      <c r="AA26" s="21"/>
      <c r="AB26" s="21"/>
      <c r="AC26" s="21"/>
      <c r="AD26" s="21"/>
      <c r="AE26" s="21"/>
      <c r="AF26" s="41"/>
      <c r="AG26" s="23">
        <f t="shared" si="1"/>
        <v>1</v>
      </c>
      <c r="AH26" s="21">
        <f t="shared" si="24"/>
        <v>13000000</v>
      </c>
      <c r="AI26" s="21"/>
      <c r="AJ26" s="21">
        <f>+'[7]Acuerdo PLAN INVERSIÓN 2021'!$J$418</f>
        <v>10000000</v>
      </c>
      <c r="AK26" s="21"/>
      <c r="AL26" s="21"/>
      <c r="AM26" s="21"/>
      <c r="AN26" s="21"/>
      <c r="AO26" s="21"/>
      <c r="AP26" s="21">
        <v>3000000</v>
      </c>
      <c r="AQ26" s="21"/>
      <c r="AR26" s="21"/>
      <c r="AS26" s="21"/>
      <c r="AT26" s="21"/>
      <c r="AU26" s="21"/>
      <c r="AV26" s="21"/>
      <c r="AW26" s="21"/>
      <c r="AX26" s="21"/>
      <c r="AY26" s="21"/>
      <c r="AZ26" s="21"/>
      <c r="BA26" s="21"/>
      <c r="BB26" s="21"/>
      <c r="BC26" s="21"/>
      <c r="BD26" s="21"/>
      <c r="BE26" s="21"/>
      <c r="BF26" s="23">
        <f t="shared" si="13"/>
        <v>0</v>
      </c>
      <c r="BG26" s="21">
        <f t="shared" si="25"/>
        <v>0</v>
      </c>
      <c r="BH26" s="21">
        <f t="shared" si="26"/>
        <v>0</v>
      </c>
      <c r="BI26" s="21">
        <f t="shared" si="26"/>
        <v>0</v>
      </c>
      <c r="BJ26" s="21">
        <f t="shared" si="26"/>
        <v>0</v>
      </c>
      <c r="BK26" s="21">
        <f t="shared" si="26"/>
        <v>0</v>
      </c>
      <c r="BL26" s="21">
        <f t="shared" si="26"/>
        <v>0</v>
      </c>
      <c r="BM26" s="21">
        <f t="shared" si="26"/>
        <v>0</v>
      </c>
      <c r="BN26" s="21">
        <f t="shared" si="26"/>
        <v>0</v>
      </c>
      <c r="BO26" s="21">
        <f t="shared" si="26"/>
        <v>0</v>
      </c>
      <c r="BP26" s="21">
        <f t="shared" si="26"/>
        <v>0</v>
      </c>
      <c r="BQ26" s="21">
        <f t="shared" si="26"/>
        <v>0</v>
      </c>
      <c r="BR26" s="21">
        <f t="shared" si="26"/>
        <v>0</v>
      </c>
      <c r="BS26" s="21">
        <f t="shared" si="26"/>
        <v>0</v>
      </c>
      <c r="BT26" s="21">
        <f t="shared" si="26"/>
        <v>0</v>
      </c>
      <c r="BU26" s="21">
        <f t="shared" si="26"/>
        <v>0</v>
      </c>
      <c r="BV26" s="21">
        <f t="shared" si="26"/>
        <v>0</v>
      </c>
      <c r="BW26" s="21">
        <f t="shared" si="26"/>
        <v>0</v>
      </c>
      <c r="BX26" s="21">
        <f t="shared" si="27"/>
        <v>0</v>
      </c>
      <c r="BY26" s="21">
        <f t="shared" si="27"/>
        <v>0</v>
      </c>
      <c r="BZ26" s="21">
        <f t="shared" si="27"/>
        <v>0</v>
      </c>
      <c r="CA26" s="21">
        <f t="shared" si="27"/>
        <v>0</v>
      </c>
      <c r="CB26" s="21">
        <f t="shared" si="27"/>
        <v>0</v>
      </c>
      <c r="CC26" s="21">
        <f t="shared" si="27"/>
        <v>0</v>
      </c>
      <c r="CD26" s="21">
        <f t="shared" si="27"/>
        <v>0</v>
      </c>
      <c r="CE26" s="23">
        <f t="shared" si="6"/>
        <v>1</v>
      </c>
      <c r="CF26" s="21">
        <f t="shared" si="28"/>
        <v>13000000</v>
      </c>
      <c r="CG26" s="21"/>
      <c r="CH26" s="21">
        <f>+'[3]Acuerdo PLAN INVERSIÓN 2021'!$H$480+'[3]Acuerdo PLAN INVERSIÓN 2021'!$H$487</f>
        <v>10000000</v>
      </c>
      <c r="CI26" s="21"/>
      <c r="CJ26" s="21"/>
      <c r="CK26" s="21"/>
      <c r="CL26" s="21"/>
      <c r="CM26" s="21"/>
      <c r="CN26" s="21">
        <f>+'[3]Acuerdo PLAN INVERSIÓN 2021'!$H$483</f>
        <v>3000000</v>
      </c>
      <c r="CO26" s="21"/>
      <c r="CP26" s="21"/>
      <c r="CQ26" s="21"/>
      <c r="CR26" s="21"/>
      <c r="CS26" s="21"/>
      <c r="CT26" s="21"/>
      <c r="CU26" s="21"/>
      <c r="CV26" s="21"/>
      <c r="CW26" s="21"/>
      <c r="CX26" s="21"/>
      <c r="CY26" s="21"/>
      <c r="CZ26" s="21"/>
      <c r="DA26" s="21"/>
      <c r="DB26" s="21"/>
      <c r="DC26" s="21"/>
      <c r="DD26" s="23">
        <f t="shared" si="8"/>
        <v>0</v>
      </c>
      <c r="DE26" s="21">
        <f t="shared" si="29"/>
        <v>0</v>
      </c>
      <c r="DF26" s="21">
        <f t="shared" si="30"/>
        <v>0</v>
      </c>
      <c r="DG26" s="21">
        <f t="shared" si="30"/>
        <v>0</v>
      </c>
      <c r="DH26" s="21">
        <f t="shared" si="30"/>
        <v>0</v>
      </c>
      <c r="DI26" s="21">
        <f t="shared" si="30"/>
        <v>0</v>
      </c>
      <c r="DJ26" s="21">
        <f t="shared" si="30"/>
        <v>0</v>
      </c>
      <c r="DK26" s="21">
        <f t="shared" si="30"/>
        <v>0</v>
      </c>
      <c r="DL26" s="21">
        <f t="shared" si="30"/>
        <v>0</v>
      </c>
      <c r="DM26" s="21">
        <f t="shared" si="30"/>
        <v>0</v>
      </c>
      <c r="DN26" s="21">
        <f t="shared" si="30"/>
        <v>0</v>
      </c>
      <c r="DO26" s="21">
        <f t="shared" si="30"/>
        <v>0</v>
      </c>
      <c r="DP26" s="21">
        <f t="shared" si="30"/>
        <v>0</v>
      </c>
      <c r="DQ26" s="21">
        <f t="shared" si="30"/>
        <v>0</v>
      </c>
      <c r="DR26" s="21">
        <f t="shared" si="30"/>
        <v>0</v>
      </c>
      <c r="DS26" s="21">
        <f t="shared" si="30"/>
        <v>0</v>
      </c>
      <c r="DT26" s="21">
        <f t="shared" si="30"/>
        <v>0</v>
      </c>
      <c r="DU26" s="21">
        <f t="shared" si="30"/>
        <v>0</v>
      </c>
      <c r="DV26" s="21">
        <f t="shared" si="31"/>
        <v>0</v>
      </c>
      <c r="DW26" s="21">
        <f t="shared" si="31"/>
        <v>0</v>
      </c>
      <c r="DX26" s="21">
        <f t="shared" si="31"/>
        <v>0</v>
      </c>
      <c r="DY26" s="21">
        <f t="shared" si="31"/>
        <v>0</v>
      </c>
      <c r="DZ26" s="21">
        <f t="shared" si="31"/>
        <v>0</v>
      </c>
      <c r="EA26" s="21">
        <f t="shared" si="31"/>
        <v>0</v>
      </c>
      <c r="EB26" s="21">
        <f t="shared" si="31"/>
        <v>0</v>
      </c>
      <c r="ED26" s="27">
        <f t="shared" si="11"/>
        <v>13000000</v>
      </c>
      <c r="EE26" s="27">
        <f t="shared" si="15"/>
        <v>13000000</v>
      </c>
      <c r="EF26" s="27">
        <f t="shared" si="16"/>
        <v>13000000</v>
      </c>
    </row>
    <row r="27" spans="1:137" ht="39" customHeight="1" x14ac:dyDescent="0.3">
      <c r="A27" s="28"/>
      <c r="B27" s="196" t="s">
        <v>108</v>
      </c>
      <c r="C27" s="33" t="s">
        <v>109</v>
      </c>
      <c r="D27" s="29" t="s">
        <v>110</v>
      </c>
      <c r="E27" s="19">
        <v>410</v>
      </c>
      <c r="F27" s="20" t="s">
        <v>111</v>
      </c>
      <c r="G27" s="21">
        <f t="shared" si="23"/>
        <v>313567799</v>
      </c>
      <c r="H27" s="22">
        <v>215800000</v>
      </c>
      <c r="I27" s="22">
        <f t="shared" si="32"/>
        <v>-97767799</v>
      </c>
      <c r="J27" s="21"/>
      <c r="K27" s="21"/>
      <c r="L27" s="21"/>
      <c r="M27" s="21"/>
      <c r="N27" s="21"/>
      <c r="O27" s="21"/>
      <c r="P27" s="21"/>
      <c r="Q27" s="21">
        <f>120000000+78000000-50000000</f>
        <v>148000000</v>
      </c>
      <c r="R27" s="21">
        <f>8000000+40000000-17566990</f>
        <v>30433010</v>
      </c>
      <c r="S27" s="21">
        <f>15000000+15000000</f>
        <v>30000000</v>
      </c>
      <c r="T27" s="21">
        <v>10000000</v>
      </c>
      <c r="U27" s="21"/>
      <c r="V27" s="21"/>
      <c r="W27" s="21"/>
      <c r="X27" s="21">
        <f>45134741</f>
        <v>45134741</v>
      </c>
      <c r="Y27" s="21"/>
      <c r="Z27" s="21"/>
      <c r="AA27" s="21"/>
      <c r="AB27" s="21"/>
      <c r="AC27" s="21"/>
      <c r="AD27" s="21"/>
      <c r="AE27" s="21"/>
      <c r="AF27" s="21">
        <f>35000000+5000000+8000000+2000048</f>
        <v>50000048</v>
      </c>
      <c r="AG27" s="23">
        <f t="shared" si="1"/>
        <v>0.34480934376810801</v>
      </c>
      <c r="AH27" s="21">
        <f t="shared" si="24"/>
        <v>108121107</v>
      </c>
      <c r="AI27" s="21"/>
      <c r="AJ27" s="21"/>
      <c r="AK27" s="21"/>
      <c r="AL27" s="21"/>
      <c r="AM27" s="21"/>
      <c r="AN27" s="21"/>
      <c r="AO27" s="21"/>
      <c r="AP27" s="21">
        <f>+'[1]Acuerdo PLAN INVERSIÓN 2021'!$S$711</f>
        <v>59829317</v>
      </c>
      <c r="AQ27" s="21">
        <f>+'[1]Acuerdo PLAN INVERSIÓN 2021'!$T$711</f>
        <v>7407365</v>
      </c>
      <c r="AR27" s="21">
        <f>+'[1]Acuerdo PLAN INVERSIÓN 2021'!$U$711</f>
        <v>9500000</v>
      </c>
      <c r="AS27" s="21">
        <f>+'[1]Acuerdo PLAN INVERSIÓN 2021'!$V$711</f>
        <v>3537364</v>
      </c>
      <c r="AT27" s="21"/>
      <c r="AU27" s="21"/>
      <c r="AV27" s="21"/>
      <c r="AW27" s="21">
        <f>+'[1]Acuerdo PLAN INVERSIÓN 2021'!$Q$711</f>
        <v>6599999</v>
      </c>
      <c r="AX27" s="21"/>
      <c r="AY27" s="21"/>
      <c r="AZ27" s="21"/>
      <c r="BA27" s="21"/>
      <c r="BB27" s="21"/>
      <c r="BC27" s="21"/>
      <c r="BD27" s="21"/>
      <c r="BE27" s="21">
        <f>+'[1]Acuerdo PLAN INVERSIÓN 2021'!$AF$711</f>
        <v>21247062</v>
      </c>
      <c r="BF27" s="23">
        <f t="shared" si="13"/>
        <v>0.65519065623189199</v>
      </c>
      <c r="BG27" s="21">
        <f t="shared" si="25"/>
        <v>205446692</v>
      </c>
      <c r="BH27" s="21">
        <f t="shared" si="26"/>
        <v>0</v>
      </c>
      <c r="BI27" s="21">
        <f t="shared" si="26"/>
        <v>0</v>
      </c>
      <c r="BJ27" s="21">
        <f t="shared" si="26"/>
        <v>0</v>
      </c>
      <c r="BK27" s="21">
        <f t="shared" si="26"/>
        <v>0</v>
      </c>
      <c r="BL27" s="21">
        <f t="shared" si="26"/>
        <v>0</v>
      </c>
      <c r="BM27" s="21">
        <f t="shared" si="26"/>
        <v>0</v>
      </c>
      <c r="BN27" s="21">
        <f t="shared" si="26"/>
        <v>0</v>
      </c>
      <c r="BO27" s="21">
        <f t="shared" si="26"/>
        <v>88170683</v>
      </c>
      <c r="BP27" s="21">
        <f t="shared" si="26"/>
        <v>23025645</v>
      </c>
      <c r="BQ27" s="21">
        <f t="shared" si="26"/>
        <v>20500000</v>
      </c>
      <c r="BR27" s="21">
        <f t="shared" si="26"/>
        <v>6462636</v>
      </c>
      <c r="BS27" s="21">
        <f t="shared" si="26"/>
        <v>0</v>
      </c>
      <c r="BT27" s="21">
        <f t="shared" si="26"/>
        <v>0</v>
      </c>
      <c r="BU27" s="21">
        <f t="shared" si="26"/>
        <v>0</v>
      </c>
      <c r="BV27" s="21">
        <f t="shared" si="26"/>
        <v>38534742</v>
      </c>
      <c r="BW27" s="21">
        <f t="shared" si="26"/>
        <v>0</v>
      </c>
      <c r="BX27" s="21">
        <f t="shared" si="27"/>
        <v>0</v>
      </c>
      <c r="BY27" s="21">
        <f t="shared" si="27"/>
        <v>0</v>
      </c>
      <c r="BZ27" s="21">
        <f t="shared" si="27"/>
        <v>0</v>
      </c>
      <c r="CA27" s="21">
        <f t="shared" si="27"/>
        <v>0</v>
      </c>
      <c r="CB27" s="21">
        <f t="shared" si="27"/>
        <v>0</v>
      </c>
      <c r="CC27" s="21">
        <f t="shared" si="27"/>
        <v>0</v>
      </c>
      <c r="CD27" s="21">
        <f t="shared" si="27"/>
        <v>28752986</v>
      </c>
      <c r="CE27" s="23">
        <f t="shared" si="6"/>
        <v>0.34480934376810801</v>
      </c>
      <c r="CF27" s="21">
        <f t="shared" si="28"/>
        <v>108121107</v>
      </c>
      <c r="CG27" s="21"/>
      <c r="CH27" s="21"/>
      <c r="CI27" s="21"/>
      <c r="CJ27" s="21"/>
      <c r="CK27" s="21"/>
      <c r="CL27" s="21"/>
      <c r="CM27" s="21"/>
      <c r="CN27" s="21">
        <f>+'[1]Acuerdo PLAN INVERSIÓN 2021'!$S$711</f>
        <v>59829317</v>
      </c>
      <c r="CO27" s="21">
        <f>+'[1]Acuerdo PLAN INVERSIÓN 2021'!$T$711</f>
        <v>7407365</v>
      </c>
      <c r="CP27" s="21">
        <f>+'[1]Acuerdo PLAN INVERSIÓN 2021'!$U$711</f>
        <v>9500000</v>
      </c>
      <c r="CQ27" s="21">
        <f>+'[1]Acuerdo PLAN INVERSIÓN 2021'!$V$711</f>
        <v>3537364</v>
      </c>
      <c r="CR27" s="21"/>
      <c r="CS27" s="21"/>
      <c r="CT27" s="21"/>
      <c r="CU27" s="21">
        <f>+'[1]Acuerdo PLAN INVERSIÓN 2021'!$Q$711</f>
        <v>6599999</v>
      </c>
      <c r="CV27" s="21"/>
      <c r="CW27" s="21"/>
      <c r="CX27" s="21"/>
      <c r="CY27" s="21"/>
      <c r="CZ27" s="21"/>
      <c r="DA27" s="21"/>
      <c r="DB27" s="21"/>
      <c r="DC27" s="21">
        <f>+'[1]Acuerdo PLAN INVERSIÓN 2021'!$AF$711</f>
        <v>21247062</v>
      </c>
      <c r="DD27" s="23">
        <f t="shared" si="8"/>
        <v>0.65519065623189199</v>
      </c>
      <c r="DE27" s="21">
        <f t="shared" si="29"/>
        <v>205446692</v>
      </c>
      <c r="DF27" s="21">
        <f t="shared" si="30"/>
        <v>0</v>
      </c>
      <c r="DG27" s="21">
        <f t="shared" si="30"/>
        <v>0</v>
      </c>
      <c r="DH27" s="21">
        <f t="shared" si="30"/>
        <v>0</v>
      </c>
      <c r="DI27" s="21">
        <f t="shared" si="30"/>
        <v>0</v>
      </c>
      <c r="DJ27" s="21">
        <f t="shared" si="30"/>
        <v>0</v>
      </c>
      <c r="DK27" s="21">
        <f t="shared" si="30"/>
        <v>0</v>
      </c>
      <c r="DL27" s="21">
        <f t="shared" si="30"/>
        <v>0</v>
      </c>
      <c r="DM27" s="21">
        <f t="shared" si="30"/>
        <v>88170683</v>
      </c>
      <c r="DN27" s="21">
        <f t="shared" si="30"/>
        <v>23025645</v>
      </c>
      <c r="DO27" s="21">
        <f t="shared" si="30"/>
        <v>20500000</v>
      </c>
      <c r="DP27" s="21">
        <f t="shared" si="30"/>
        <v>6462636</v>
      </c>
      <c r="DQ27" s="21">
        <f t="shared" si="30"/>
        <v>0</v>
      </c>
      <c r="DR27" s="21">
        <f t="shared" si="30"/>
        <v>0</v>
      </c>
      <c r="DS27" s="21">
        <f t="shared" si="30"/>
        <v>0</v>
      </c>
      <c r="DT27" s="21">
        <f t="shared" si="30"/>
        <v>38534742</v>
      </c>
      <c r="DU27" s="21">
        <f t="shared" si="30"/>
        <v>0</v>
      </c>
      <c r="DV27" s="21">
        <f t="shared" si="31"/>
        <v>0</v>
      </c>
      <c r="DW27" s="21">
        <f t="shared" si="31"/>
        <v>0</v>
      </c>
      <c r="DX27" s="21">
        <f t="shared" si="31"/>
        <v>0</v>
      </c>
      <c r="DY27" s="21">
        <f t="shared" si="31"/>
        <v>0</v>
      </c>
      <c r="DZ27" s="21">
        <f t="shared" si="31"/>
        <v>0</v>
      </c>
      <c r="EA27" s="21">
        <f t="shared" si="31"/>
        <v>0</v>
      </c>
      <c r="EB27" s="21">
        <f t="shared" si="31"/>
        <v>28752986</v>
      </c>
      <c r="ED27" s="27">
        <f t="shared" si="11"/>
        <v>313567799</v>
      </c>
      <c r="EE27" s="27">
        <f t="shared" si="15"/>
        <v>313567799</v>
      </c>
      <c r="EF27" s="27">
        <f t="shared" si="16"/>
        <v>313567799</v>
      </c>
    </row>
    <row r="28" spans="1:137" ht="18" customHeight="1" x14ac:dyDescent="0.3">
      <c r="A28" s="28"/>
      <c r="B28" s="196"/>
      <c r="C28" s="17" t="s">
        <v>112</v>
      </c>
      <c r="D28" s="29" t="s">
        <v>113</v>
      </c>
      <c r="E28" s="19">
        <v>410</v>
      </c>
      <c r="F28" s="20" t="s">
        <v>114</v>
      </c>
      <c r="G28" s="21">
        <f t="shared" si="23"/>
        <v>65000000</v>
      </c>
      <c r="H28" s="22">
        <v>49800000</v>
      </c>
      <c r="I28" s="22">
        <f t="shared" si="32"/>
        <v>-15200000</v>
      </c>
      <c r="J28" s="21"/>
      <c r="K28" s="21">
        <v>20000000</v>
      </c>
      <c r="L28" s="21"/>
      <c r="M28" s="21"/>
      <c r="N28" s="21"/>
      <c r="O28" s="21"/>
      <c r="P28" s="21"/>
      <c r="Q28" s="21">
        <f>20000000+25000000</f>
        <v>45000000</v>
      </c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3">
        <f t="shared" si="1"/>
        <v>8.3155353846153843E-2</v>
      </c>
      <c r="AH28" s="21">
        <f t="shared" si="24"/>
        <v>5405098</v>
      </c>
      <c r="AI28" s="21"/>
      <c r="AJ28" s="21"/>
      <c r="AK28" s="21"/>
      <c r="AL28" s="21"/>
      <c r="AM28" s="21"/>
      <c r="AN28" s="21"/>
      <c r="AO28" s="21"/>
      <c r="AP28" s="21">
        <f>+'[1]Acuerdo PLAN INVERSIÓN 2021'!$S$1117</f>
        <v>5405098</v>
      </c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23">
        <f t="shared" si="13"/>
        <v>0.9168446461538462</v>
      </c>
      <c r="BG28" s="21">
        <f t="shared" si="25"/>
        <v>59594902</v>
      </c>
      <c r="BH28" s="21">
        <f t="shared" si="26"/>
        <v>0</v>
      </c>
      <c r="BI28" s="21">
        <f t="shared" si="26"/>
        <v>20000000</v>
      </c>
      <c r="BJ28" s="21">
        <f t="shared" si="26"/>
        <v>0</v>
      </c>
      <c r="BK28" s="21">
        <f t="shared" si="26"/>
        <v>0</v>
      </c>
      <c r="BL28" s="21">
        <f t="shared" si="26"/>
        <v>0</v>
      </c>
      <c r="BM28" s="21">
        <f t="shared" si="26"/>
        <v>0</v>
      </c>
      <c r="BN28" s="21">
        <f t="shared" si="26"/>
        <v>0</v>
      </c>
      <c r="BO28" s="21">
        <f t="shared" si="26"/>
        <v>39594902</v>
      </c>
      <c r="BP28" s="21">
        <f t="shared" si="26"/>
        <v>0</v>
      </c>
      <c r="BQ28" s="21">
        <f t="shared" si="26"/>
        <v>0</v>
      </c>
      <c r="BR28" s="21">
        <f t="shared" si="26"/>
        <v>0</v>
      </c>
      <c r="BS28" s="21">
        <f t="shared" si="26"/>
        <v>0</v>
      </c>
      <c r="BT28" s="21">
        <f t="shared" si="26"/>
        <v>0</v>
      </c>
      <c r="BU28" s="21">
        <f t="shared" si="26"/>
        <v>0</v>
      </c>
      <c r="BV28" s="21">
        <f t="shared" si="26"/>
        <v>0</v>
      </c>
      <c r="BW28" s="21">
        <f t="shared" si="26"/>
        <v>0</v>
      </c>
      <c r="BX28" s="21">
        <f t="shared" si="27"/>
        <v>0</v>
      </c>
      <c r="BY28" s="21">
        <f t="shared" si="27"/>
        <v>0</v>
      </c>
      <c r="BZ28" s="21">
        <f t="shared" si="27"/>
        <v>0</v>
      </c>
      <c r="CA28" s="21">
        <f t="shared" si="27"/>
        <v>0</v>
      </c>
      <c r="CB28" s="21">
        <f t="shared" si="27"/>
        <v>0</v>
      </c>
      <c r="CC28" s="21">
        <f t="shared" si="27"/>
        <v>0</v>
      </c>
      <c r="CD28" s="21">
        <f t="shared" si="27"/>
        <v>0</v>
      </c>
      <c r="CE28" s="23">
        <f t="shared" si="6"/>
        <v>8.3155353846153843E-2</v>
      </c>
      <c r="CF28" s="21">
        <f t="shared" si="28"/>
        <v>5405098</v>
      </c>
      <c r="CG28" s="21"/>
      <c r="CH28" s="21"/>
      <c r="CI28" s="21"/>
      <c r="CJ28" s="21"/>
      <c r="CK28" s="21"/>
      <c r="CL28" s="21"/>
      <c r="CM28" s="21"/>
      <c r="CN28" s="21">
        <f>+'[5]Acuerdo PLAN INVERSIÓN 2021'!$H$1071</f>
        <v>5405098</v>
      </c>
      <c r="CO28" s="21"/>
      <c r="CP28" s="21"/>
      <c r="CQ28" s="21"/>
      <c r="CR28" s="21"/>
      <c r="CS28" s="21"/>
      <c r="CT28" s="21"/>
      <c r="CU28" s="21"/>
      <c r="CV28" s="21"/>
      <c r="CW28" s="21"/>
      <c r="CX28" s="21"/>
      <c r="CY28" s="21"/>
      <c r="CZ28" s="21"/>
      <c r="DA28" s="21"/>
      <c r="DB28" s="21"/>
      <c r="DC28" s="21"/>
      <c r="DD28" s="23">
        <f t="shared" si="8"/>
        <v>0.9168446461538462</v>
      </c>
      <c r="DE28" s="21">
        <f t="shared" si="29"/>
        <v>59594902</v>
      </c>
      <c r="DF28" s="21">
        <f t="shared" si="30"/>
        <v>0</v>
      </c>
      <c r="DG28" s="21">
        <f t="shared" si="30"/>
        <v>20000000</v>
      </c>
      <c r="DH28" s="21">
        <f t="shared" si="30"/>
        <v>0</v>
      </c>
      <c r="DI28" s="21">
        <f t="shared" si="30"/>
        <v>0</v>
      </c>
      <c r="DJ28" s="21">
        <f t="shared" si="30"/>
        <v>0</v>
      </c>
      <c r="DK28" s="21">
        <f t="shared" si="30"/>
        <v>0</v>
      </c>
      <c r="DL28" s="21">
        <f t="shared" si="30"/>
        <v>0</v>
      </c>
      <c r="DM28" s="21">
        <f t="shared" si="30"/>
        <v>39594902</v>
      </c>
      <c r="DN28" s="21">
        <f t="shared" si="30"/>
        <v>0</v>
      </c>
      <c r="DO28" s="21">
        <f t="shared" si="30"/>
        <v>0</v>
      </c>
      <c r="DP28" s="21">
        <f t="shared" si="30"/>
        <v>0</v>
      </c>
      <c r="DQ28" s="21">
        <f t="shared" si="30"/>
        <v>0</v>
      </c>
      <c r="DR28" s="21">
        <f t="shared" si="30"/>
        <v>0</v>
      </c>
      <c r="DS28" s="21">
        <f t="shared" si="30"/>
        <v>0</v>
      </c>
      <c r="DT28" s="21">
        <f t="shared" si="30"/>
        <v>0</v>
      </c>
      <c r="DU28" s="21">
        <f t="shared" si="30"/>
        <v>0</v>
      </c>
      <c r="DV28" s="21">
        <f t="shared" si="31"/>
        <v>0</v>
      </c>
      <c r="DW28" s="21">
        <f t="shared" si="31"/>
        <v>0</v>
      </c>
      <c r="DX28" s="21">
        <f t="shared" si="31"/>
        <v>0</v>
      </c>
      <c r="DY28" s="21">
        <f t="shared" si="31"/>
        <v>0</v>
      </c>
      <c r="DZ28" s="21">
        <f t="shared" si="31"/>
        <v>0</v>
      </c>
      <c r="EA28" s="21">
        <f t="shared" si="31"/>
        <v>0</v>
      </c>
      <c r="EB28" s="21">
        <f t="shared" si="31"/>
        <v>0</v>
      </c>
      <c r="ED28" s="27">
        <f t="shared" si="11"/>
        <v>65000000</v>
      </c>
      <c r="EE28" s="27">
        <f t="shared" si="15"/>
        <v>65000000</v>
      </c>
      <c r="EF28" s="27">
        <f t="shared" si="16"/>
        <v>65000000</v>
      </c>
    </row>
    <row r="29" spans="1:137" ht="19.2" customHeight="1" x14ac:dyDescent="0.3">
      <c r="A29" s="28"/>
      <c r="B29" s="196"/>
      <c r="C29" s="17" t="s">
        <v>115</v>
      </c>
      <c r="D29" s="29" t="s">
        <v>116</v>
      </c>
      <c r="E29" s="19">
        <v>410</v>
      </c>
      <c r="F29" s="20" t="s">
        <v>114</v>
      </c>
      <c r="G29" s="21">
        <f t="shared" si="23"/>
        <v>1082732208</v>
      </c>
      <c r="H29" s="22">
        <v>1120500000</v>
      </c>
      <c r="I29" s="22">
        <f t="shared" si="32"/>
        <v>37767792</v>
      </c>
      <c r="J29" s="21"/>
      <c r="K29" s="21"/>
      <c r="L29" s="21"/>
      <c r="M29" s="21"/>
      <c r="N29" s="21"/>
      <c r="O29" s="21"/>
      <c r="P29" s="21"/>
      <c r="Q29" s="21">
        <f>500000000+119280494+165739636+2</f>
        <v>785020132</v>
      </c>
      <c r="R29" s="21">
        <f>17566990</f>
        <v>17566990</v>
      </c>
      <c r="S29" s="21"/>
      <c r="T29" s="21">
        <v>10000000</v>
      </c>
      <c r="U29" s="21"/>
      <c r="V29" s="21"/>
      <c r="W29" s="21"/>
      <c r="X29" s="21"/>
      <c r="Y29" s="21"/>
      <c r="Z29" s="21"/>
      <c r="AA29" s="21"/>
      <c r="AB29" s="21">
        <v>270145086</v>
      </c>
      <c r="AC29" s="21"/>
      <c r="AD29" s="21"/>
      <c r="AE29" s="21"/>
      <c r="AF29" s="21"/>
      <c r="AG29" s="23">
        <f t="shared" si="1"/>
        <v>0.34087505227331338</v>
      </c>
      <c r="AH29" s="21">
        <f t="shared" si="24"/>
        <v>369076398</v>
      </c>
      <c r="AI29" s="21"/>
      <c r="AJ29" s="21"/>
      <c r="AK29" s="21"/>
      <c r="AL29" s="21"/>
      <c r="AM29" s="21"/>
      <c r="AN29" s="21"/>
      <c r="AO29" s="21"/>
      <c r="AP29" s="21">
        <f>+'[1]Acuerdo PLAN INVERSIÓN 2021'!$S$1141</f>
        <v>343207498</v>
      </c>
      <c r="AQ29" s="21">
        <f>+'[1]Acuerdo PLAN INVERSIÓN 2021'!$T$1141</f>
        <v>9688900</v>
      </c>
      <c r="AR29" s="21"/>
      <c r="AS29" s="21">
        <f>+'[1]Acuerdo PLAN INVERSIÓN 2021'!$V$1141</f>
        <v>4080000</v>
      </c>
      <c r="AT29" s="21"/>
      <c r="AU29" s="21"/>
      <c r="AV29" s="21"/>
      <c r="AW29" s="21"/>
      <c r="AX29" s="21"/>
      <c r="AY29" s="21"/>
      <c r="AZ29" s="21"/>
      <c r="BA29" s="21">
        <f>+'[1]Acuerdo PLAN INVERSIÓN 2021'!$Y$1141</f>
        <v>12100000</v>
      </c>
      <c r="BB29" s="21"/>
      <c r="BC29" s="21"/>
      <c r="BD29" s="21"/>
      <c r="BE29" s="21"/>
      <c r="BF29" s="23">
        <f t="shared" si="13"/>
        <v>0.65912494772668662</v>
      </c>
      <c r="BG29" s="21">
        <f t="shared" si="25"/>
        <v>713655810</v>
      </c>
      <c r="BH29" s="21">
        <f t="shared" si="26"/>
        <v>0</v>
      </c>
      <c r="BI29" s="21">
        <f t="shared" si="26"/>
        <v>0</v>
      </c>
      <c r="BJ29" s="21">
        <f t="shared" si="26"/>
        <v>0</v>
      </c>
      <c r="BK29" s="21">
        <f t="shared" si="26"/>
        <v>0</v>
      </c>
      <c r="BL29" s="21">
        <f t="shared" si="26"/>
        <v>0</v>
      </c>
      <c r="BM29" s="21">
        <f t="shared" si="26"/>
        <v>0</v>
      </c>
      <c r="BN29" s="21">
        <f t="shared" si="26"/>
        <v>0</v>
      </c>
      <c r="BO29" s="21">
        <f t="shared" si="26"/>
        <v>441812634</v>
      </c>
      <c r="BP29" s="21">
        <f t="shared" si="26"/>
        <v>7878090</v>
      </c>
      <c r="BQ29" s="21">
        <f t="shared" si="26"/>
        <v>0</v>
      </c>
      <c r="BR29" s="21">
        <f t="shared" si="26"/>
        <v>5920000</v>
      </c>
      <c r="BS29" s="21">
        <f t="shared" si="26"/>
        <v>0</v>
      </c>
      <c r="BT29" s="21">
        <f t="shared" si="26"/>
        <v>0</v>
      </c>
      <c r="BU29" s="21">
        <f t="shared" si="26"/>
        <v>0</v>
      </c>
      <c r="BV29" s="21">
        <f t="shared" si="26"/>
        <v>0</v>
      </c>
      <c r="BW29" s="21">
        <f t="shared" si="26"/>
        <v>0</v>
      </c>
      <c r="BX29" s="21">
        <f t="shared" si="27"/>
        <v>0</v>
      </c>
      <c r="BY29" s="21">
        <f t="shared" si="27"/>
        <v>0</v>
      </c>
      <c r="BZ29" s="21">
        <f t="shared" si="27"/>
        <v>258045086</v>
      </c>
      <c r="CA29" s="21">
        <f t="shared" si="27"/>
        <v>0</v>
      </c>
      <c r="CB29" s="21">
        <f t="shared" si="27"/>
        <v>0</v>
      </c>
      <c r="CC29" s="21">
        <f t="shared" si="27"/>
        <v>0</v>
      </c>
      <c r="CD29" s="21">
        <f t="shared" si="27"/>
        <v>0</v>
      </c>
      <c r="CE29" s="23">
        <f t="shared" si="6"/>
        <v>0.34087505227331338</v>
      </c>
      <c r="CF29" s="21">
        <f t="shared" si="28"/>
        <v>369076398</v>
      </c>
      <c r="CG29" s="21"/>
      <c r="CH29" s="21"/>
      <c r="CI29" s="21"/>
      <c r="CJ29" s="21"/>
      <c r="CK29" s="21"/>
      <c r="CL29" s="21"/>
      <c r="CM29" s="21"/>
      <c r="CN29" s="21">
        <f>+'[1]Acuerdo PLAN INVERSIÓN 2021'!$S$1141</f>
        <v>343207498</v>
      </c>
      <c r="CO29" s="21">
        <f>+'[1]Acuerdo PLAN INVERSIÓN 2021'!$T$1141</f>
        <v>9688900</v>
      </c>
      <c r="CP29" s="21"/>
      <c r="CQ29" s="21">
        <f>+'[1]Acuerdo PLAN INVERSIÓN 2021'!$V$1141</f>
        <v>4080000</v>
      </c>
      <c r="CR29" s="21"/>
      <c r="CS29" s="21"/>
      <c r="CT29" s="21"/>
      <c r="CU29" s="21"/>
      <c r="CV29" s="21"/>
      <c r="CW29" s="21"/>
      <c r="CX29" s="21"/>
      <c r="CY29" s="21">
        <f>+'[1]Acuerdo PLAN INVERSIÓN 2021'!$Y$1141</f>
        <v>12100000</v>
      </c>
      <c r="CZ29" s="21"/>
      <c r="DA29" s="21"/>
      <c r="DB29" s="21"/>
      <c r="DC29" s="21"/>
      <c r="DD29" s="23">
        <f t="shared" si="8"/>
        <v>0.65912494772668662</v>
      </c>
      <c r="DE29" s="21">
        <f t="shared" si="29"/>
        <v>713655810</v>
      </c>
      <c r="DF29" s="21">
        <f t="shared" si="30"/>
        <v>0</v>
      </c>
      <c r="DG29" s="21">
        <f t="shared" si="30"/>
        <v>0</v>
      </c>
      <c r="DH29" s="21">
        <f t="shared" si="30"/>
        <v>0</v>
      </c>
      <c r="DI29" s="21">
        <f t="shared" si="30"/>
        <v>0</v>
      </c>
      <c r="DJ29" s="21">
        <f t="shared" si="30"/>
        <v>0</v>
      </c>
      <c r="DK29" s="21">
        <f t="shared" si="30"/>
        <v>0</v>
      </c>
      <c r="DL29" s="21">
        <f t="shared" si="30"/>
        <v>0</v>
      </c>
      <c r="DM29" s="21">
        <f t="shared" si="30"/>
        <v>441812634</v>
      </c>
      <c r="DN29" s="21">
        <f t="shared" si="30"/>
        <v>7878090</v>
      </c>
      <c r="DO29" s="21">
        <f t="shared" si="30"/>
        <v>0</v>
      </c>
      <c r="DP29" s="21">
        <f t="shared" si="30"/>
        <v>5920000</v>
      </c>
      <c r="DQ29" s="21">
        <f t="shared" si="30"/>
        <v>0</v>
      </c>
      <c r="DR29" s="21">
        <f t="shared" si="30"/>
        <v>0</v>
      </c>
      <c r="DS29" s="21">
        <f t="shared" si="30"/>
        <v>0</v>
      </c>
      <c r="DT29" s="21">
        <f t="shared" si="30"/>
        <v>0</v>
      </c>
      <c r="DU29" s="21">
        <f t="shared" si="30"/>
        <v>0</v>
      </c>
      <c r="DV29" s="21">
        <f t="shared" si="31"/>
        <v>0</v>
      </c>
      <c r="DW29" s="21">
        <f t="shared" si="31"/>
        <v>0</v>
      </c>
      <c r="DX29" s="21">
        <f t="shared" si="31"/>
        <v>258045086</v>
      </c>
      <c r="DY29" s="21">
        <f t="shared" si="31"/>
        <v>0</v>
      </c>
      <c r="DZ29" s="21">
        <f t="shared" si="31"/>
        <v>0</v>
      </c>
      <c r="EA29" s="21">
        <f t="shared" si="31"/>
        <v>0</v>
      </c>
      <c r="EB29" s="21">
        <f t="shared" si="31"/>
        <v>0</v>
      </c>
      <c r="ED29" s="27">
        <f t="shared" si="11"/>
        <v>1082732208</v>
      </c>
      <c r="EE29" s="27">
        <f t="shared" si="15"/>
        <v>1082732208</v>
      </c>
      <c r="EF29" s="27">
        <f t="shared" si="16"/>
        <v>1082732208</v>
      </c>
    </row>
    <row r="30" spans="1:137" ht="21" customHeight="1" x14ac:dyDescent="0.3">
      <c r="A30" s="28"/>
      <c r="B30" s="196"/>
      <c r="C30" s="17" t="s">
        <v>117</v>
      </c>
      <c r="D30" s="29" t="s">
        <v>118</v>
      </c>
      <c r="E30" s="19">
        <v>410</v>
      </c>
      <c r="F30" s="20" t="s">
        <v>105</v>
      </c>
      <c r="G30" s="21">
        <f t="shared" si="23"/>
        <v>461000000</v>
      </c>
      <c r="H30" s="22">
        <v>0</v>
      </c>
      <c r="I30" s="22">
        <f t="shared" si="32"/>
        <v>-461000000</v>
      </c>
      <c r="J30" s="21"/>
      <c r="K30" s="21"/>
      <c r="L30" s="21"/>
      <c r="M30" s="21"/>
      <c r="N30" s="21"/>
      <c r="O30" s="21"/>
      <c r="P30" s="21"/>
      <c r="Q30" s="21">
        <f>300000000+161000000</f>
        <v>461000000</v>
      </c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1"/>
      <c r="AG30" s="23">
        <f t="shared" si="1"/>
        <v>0.54131737310195227</v>
      </c>
      <c r="AH30" s="21">
        <f t="shared" si="24"/>
        <v>249547309</v>
      </c>
      <c r="AI30" s="21"/>
      <c r="AJ30" s="21"/>
      <c r="AK30" s="21"/>
      <c r="AL30" s="21"/>
      <c r="AM30" s="21"/>
      <c r="AN30" s="21"/>
      <c r="AO30" s="21"/>
      <c r="AP30" s="21">
        <f>+'[1]Acuerdo PLAN INVERSIÓN 2021'!$S$1534</f>
        <v>249547309</v>
      </c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21"/>
      <c r="BF30" s="23">
        <f t="shared" si="13"/>
        <v>0.45868262689804773</v>
      </c>
      <c r="BG30" s="21">
        <f t="shared" si="25"/>
        <v>211452691</v>
      </c>
      <c r="BH30" s="21">
        <f t="shared" si="26"/>
        <v>0</v>
      </c>
      <c r="BI30" s="21">
        <f t="shared" si="26"/>
        <v>0</v>
      </c>
      <c r="BJ30" s="21">
        <f t="shared" si="26"/>
        <v>0</v>
      </c>
      <c r="BK30" s="21">
        <f t="shared" si="26"/>
        <v>0</v>
      </c>
      <c r="BL30" s="21">
        <f t="shared" si="26"/>
        <v>0</v>
      </c>
      <c r="BM30" s="21">
        <f t="shared" si="26"/>
        <v>0</v>
      </c>
      <c r="BN30" s="21">
        <f t="shared" si="26"/>
        <v>0</v>
      </c>
      <c r="BO30" s="21">
        <f t="shared" si="26"/>
        <v>211452691</v>
      </c>
      <c r="BP30" s="21">
        <f t="shared" si="26"/>
        <v>0</v>
      </c>
      <c r="BQ30" s="21">
        <f t="shared" si="26"/>
        <v>0</v>
      </c>
      <c r="BR30" s="21">
        <f t="shared" si="26"/>
        <v>0</v>
      </c>
      <c r="BS30" s="21">
        <f t="shared" si="26"/>
        <v>0</v>
      </c>
      <c r="BT30" s="21">
        <f t="shared" si="26"/>
        <v>0</v>
      </c>
      <c r="BU30" s="21">
        <f t="shared" si="26"/>
        <v>0</v>
      </c>
      <c r="BV30" s="21">
        <f t="shared" si="26"/>
        <v>0</v>
      </c>
      <c r="BW30" s="21">
        <f t="shared" si="26"/>
        <v>0</v>
      </c>
      <c r="BX30" s="21">
        <f t="shared" si="27"/>
        <v>0</v>
      </c>
      <c r="BY30" s="21">
        <f t="shared" si="27"/>
        <v>0</v>
      </c>
      <c r="BZ30" s="21">
        <f t="shared" si="27"/>
        <v>0</v>
      </c>
      <c r="CA30" s="21">
        <f t="shared" si="27"/>
        <v>0</v>
      </c>
      <c r="CB30" s="21">
        <f t="shared" si="27"/>
        <v>0</v>
      </c>
      <c r="CC30" s="21">
        <f t="shared" si="27"/>
        <v>0</v>
      </c>
      <c r="CD30" s="21">
        <f t="shared" si="27"/>
        <v>0</v>
      </c>
      <c r="CE30" s="23">
        <f t="shared" si="6"/>
        <v>0.54131737310195227</v>
      </c>
      <c r="CF30" s="21">
        <f t="shared" si="28"/>
        <v>249547309</v>
      </c>
      <c r="CG30" s="21"/>
      <c r="CH30" s="21"/>
      <c r="CI30" s="21"/>
      <c r="CJ30" s="21"/>
      <c r="CK30" s="21"/>
      <c r="CL30" s="21"/>
      <c r="CM30" s="21"/>
      <c r="CN30" s="21">
        <f>+'[1]Acuerdo PLAN INVERSIÓN 2021'!$S$1534</f>
        <v>249547309</v>
      </c>
      <c r="CO30" s="21"/>
      <c r="CP30" s="21"/>
      <c r="CQ30" s="21"/>
      <c r="CR30" s="21"/>
      <c r="CS30" s="21"/>
      <c r="CT30" s="21"/>
      <c r="CU30" s="21"/>
      <c r="CV30" s="21"/>
      <c r="CW30" s="21"/>
      <c r="CX30" s="21"/>
      <c r="CY30" s="21"/>
      <c r="CZ30" s="21"/>
      <c r="DA30" s="21"/>
      <c r="DB30" s="21"/>
      <c r="DC30" s="21"/>
      <c r="DD30" s="23">
        <f t="shared" si="8"/>
        <v>0.45868262689804773</v>
      </c>
      <c r="DE30" s="21">
        <f t="shared" si="29"/>
        <v>211452691</v>
      </c>
      <c r="DF30" s="21">
        <f t="shared" si="30"/>
        <v>0</v>
      </c>
      <c r="DG30" s="21">
        <f t="shared" si="30"/>
        <v>0</v>
      </c>
      <c r="DH30" s="21">
        <f t="shared" si="30"/>
        <v>0</v>
      </c>
      <c r="DI30" s="21">
        <f t="shared" si="30"/>
        <v>0</v>
      </c>
      <c r="DJ30" s="21">
        <f t="shared" si="30"/>
        <v>0</v>
      </c>
      <c r="DK30" s="21">
        <f t="shared" si="30"/>
        <v>0</v>
      </c>
      <c r="DL30" s="21">
        <f t="shared" si="30"/>
        <v>0</v>
      </c>
      <c r="DM30" s="21">
        <f t="shared" si="30"/>
        <v>211452691</v>
      </c>
      <c r="DN30" s="21">
        <f t="shared" si="30"/>
        <v>0</v>
      </c>
      <c r="DO30" s="21">
        <f t="shared" si="30"/>
        <v>0</v>
      </c>
      <c r="DP30" s="21">
        <f t="shared" si="30"/>
        <v>0</v>
      </c>
      <c r="DQ30" s="21">
        <f t="shared" si="30"/>
        <v>0</v>
      </c>
      <c r="DR30" s="21">
        <f t="shared" si="30"/>
        <v>0</v>
      </c>
      <c r="DS30" s="21">
        <f t="shared" si="30"/>
        <v>0</v>
      </c>
      <c r="DT30" s="21">
        <f t="shared" si="30"/>
        <v>0</v>
      </c>
      <c r="DU30" s="21">
        <f t="shared" si="30"/>
        <v>0</v>
      </c>
      <c r="DV30" s="21">
        <f t="shared" si="31"/>
        <v>0</v>
      </c>
      <c r="DW30" s="21">
        <f t="shared" si="31"/>
        <v>0</v>
      </c>
      <c r="DX30" s="21">
        <f t="shared" si="31"/>
        <v>0</v>
      </c>
      <c r="DY30" s="21">
        <f t="shared" si="31"/>
        <v>0</v>
      </c>
      <c r="DZ30" s="21">
        <f t="shared" si="31"/>
        <v>0</v>
      </c>
      <c r="EA30" s="21">
        <f t="shared" si="31"/>
        <v>0</v>
      </c>
      <c r="EB30" s="21">
        <f t="shared" si="31"/>
        <v>0</v>
      </c>
      <c r="ED30" s="27">
        <f t="shared" si="11"/>
        <v>461000000</v>
      </c>
      <c r="EE30" s="27">
        <f t="shared" si="15"/>
        <v>461000000</v>
      </c>
      <c r="EF30" s="27">
        <f t="shared" si="16"/>
        <v>461000000</v>
      </c>
    </row>
    <row r="31" spans="1:137" ht="21" customHeight="1" x14ac:dyDescent="0.3">
      <c r="A31" s="28"/>
      <c r="B31" s="196"/>
      <c r="C31" s="17" t="s">
        <v>119</v>
      </c>
      <c r="D31" s="29" t="s">
        <v>120</v>
      </c>
      <c r="E31" s="19">
        <v>410</v>
      </c>
      <c r="F31" s="20" t="s">
        <v>105</v>
      </c>
      <c r="G31" s="21">
        <f t="shared" si="23"/>
        <v>300000000</v>
      </c>
      <c r="H31" s="22"/>
      <c r="I31" s="22">
        <f t="shared" si="32"/>
        <v>-300000000</v>
      </c>
      <c r="J31" s="21"/>
      <c r="K31" s="21"/>
      <c r="L31" s="21"/>
      <c r="M31" s="21"/>
      <c r="N31" s="21"/>
      <c r="O31" s="21"/>
      <c r="P31" s="21"/>
      <c r="Q31" s="21">
        <v>300000000</v>
      </c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1"/>
      <c r="AD31" s="21"/>
      <c r="AE31" s="21"/>
      <c r="AF31" s="21"/>
      <c r="AG31" s="23">
        <f t="shared" si="1"/>
        <v>0.57979077999999995</v>
      </c>
      <c r="AH31" s="21">
        <f t="shared" si="24"/>
        <v>173937234</v>
      </c>
      <c r="AI31" s="21"/>
      <c r="AJ31" s="21"/>
      <c r="AK31" s="21"/>
      <c r="AL31" s="21"/>
      <c r="AM31" s="21"/>
      <c r="AN31" s="21"/>
      <c r="AO31" s="21"/>
      <c r="AP31" s="21">
        <f>+'[1]Acuerdo PLAN INVERSIÓN 2021'!$S$1704</f>
        <v>173937234</v>
      </c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3">
        <f t="shared" si="13"/>
        <v>0.42020922000000005</v>
      </c>
      <c r="BG31" s="21">
        <f t="shared" si="25"/>
        <v>126062766</v>
      </c>
      <c r="BH31" s="21">
        <f t="shared" si="26"/>
        <v>0</v>
      </c>
      <c r="BI31" s="21">
        <f t="shared" si="26"/>
        <v>0</v>
      </c>
      <c r="BJ31" s="21">
        <f t="shared" si="26"/>
        <v>0</v>
      </c>
      <c r="BK31" s="21">
        <f t="shared" si="26"/>
        <v>0</v>
      </c>
      <c r="BL31" s="21">
        <f t="shared" si="26"/>
        <v>0</v>
      </c>
      <c r="BM31" s="21">
        <f t="shared" si="26"/>
        <v>0</v>
      </c>
      <c r="BN31" s="21">
        <f t="shared" si="26"/>
        <v>0</v>
      </c>
      <c r="BO31" s="21">
        <f t="shared" si="26"/>
        <v>126062766</v>
      </c>
      <c r="BP31" s="21">
        <f t="shared" si="26"/>
        <v>0</v>
      </c>
      <c r="BQ31" s="21">
        <f t="shared" si="26"/>
        <v>0</v>
      </c>
      <c r="BR31" s="21">
        <f t="shared" si="26"/>
        <v>0</v>
      </c>
      <c r="BS31" s="21">
        <f t="shared" si="26"/>
        <v>0</v>
      </c>
      <c r="BT31" s="21">
        <f t="shared" si="26"/>
        <v>0</v>
      </c>
      <c r="BU31" s="21">
        <f t="shared" si="26"/>
        <v>0</v>
      </c>
      <c r="BV31" s="21">
        <f t="shared" si="26"/>
        <v>0</v>
      </c>
      <c r="BW31" s="21">
        <f t="shared" si="26"/>
        <v>0</v>
      </c>
      <c r="BX31" s="21">
        <f t="shared" si="27"/>
        <v>0</v>
      </c>
      <c r="BY31" s="21">
        <f t="shared" si="27"/>
        <v>0</v>
      </c>
      <c r="BZ31" s="21">
        <f t="shared" si="27"/>
        <v>0</v>
      </c>
      <c r="CA31" s="21">
        <f t="shared" si="27"/>
        <v>0</v>
      </c>
      <c r="CB31" s="21">
        <f t="shared" si="27"/>
        <v>0</v>
      </c>
      <c r="CC31" s="21">
        <f t="shared" si="27"/>
        <v>0</v>
      </c>
      <c r="CD31" s="21">
        <f t="shared" si="27"/>
        <v>0</v>
      </c>
      <c r="CE31" s="23">
        <f t="shared" si="6"/>
        <v>0.57979077999999995</v>
      </c>
      <c r="CF31" s="21">
        <f t="shared" si="28"/>
        <v>173937234</v>
      </c>
      <c r="CG31" s="21"/>
      <c r="CH31" s="21"/>
      <c r="CI31" s="21"/>
      <c r="CJ31" s="21"/>
      <c r="CK31" s="21"/>
      <c r="CL31" s="21"/>
      <c r="CM31" s="21"/>
      <c r="CN31" s="21">
        <f>+'[1]Acuerdo PLAN INVERSIÓN 2021'!$S$1704</f>
        <v>173937234</v>
      </c>
      <c r="CO31" s="21"/>
      <c r="CP31" s="21"/>
      <c r="CQ31" s="21"/>
      <c r="CR31" s="21"/>
      <c r="CS31" s="21"/>
      <c r="CT31" s="21"/>
      <c r="CU31" s="21"/>
      <c r="CV31" s="21"/>
      <c r="CW31" s="21"/>
      <c r="CX31" s="21"/>
      <c r="CY31" s="21"/>
      <c r="CZ31" s="21"/>
      <c r="DA31" s="21"/>
      <c r="DB31" s="21"/>
      <c r="DC31" s="21"/>
      <c r="DD31" s="23">
        <f t="shared" si="8"/>
        <v>0.42020922000000005</v>
      </c>
      <c r="DE31" s="21">
        <f t="shared" si="29"/>
        <v>126062766</v>
      </c>
      <c r="DF31" s="21">
        <f t="shared" si="30"/>
        <v>0</v>
      </c>
      <c r="DG31" s="21">
        <f t="shared" si="30"/>
        <v>0</v>
      </c>
      <c r="DH31" s="21">
        <f t="shared" si="30"/>
        <v>0</v>
      </c>
      <c r="DI31" s="21">
        <f t="shared" si="30"/>
        <v>0</v>
      </c>
      <c r="DJ31" s="21">
        <f t="shared" si="30"/>
        <v>0</v>
      </c>
      <c r="DK31" s="21">
        <f t="shared" si="30"/>
        <v>0</v>
      </c>
      <c r="DL31" s="21">
        <f t="shared" si="30"/>
        <v>0</v>
      </c>
      <c r="DM31" s="21">
        <f t="shared" si="30"/>
        <v>126062766</v>
      </c>
      <c r="DN31" s="21">
        <f t="shared" si="30"/>
        <v>0</v>
      </c>
      <c r="DO31" s="21">
        <f t="shared" si="30"/>
        <v>0</v>
      </c>
      <c r="DP31" s="21">
        <f t="shared" si="30"/>
        <v>0</v>
      </c>
      <c r="DQ31" s="21">
        <f t="shared" si="30"/>
        <v>0</v>
      </c>
      <c r="DR31" s="21">
        <f t="shared" si="30"/>
        <v>0</v>
      </c>
      <c r="DS31" s="21">
        <f t="shared" si="30"/>
        <v>0</v>
      </c>
      <c r="DT31" s="21">
        <f t="shared" si="30"/>
        <v>0</v>
      </c>
      <c r="DU31" s="21">
        <f t="shared" si="30"/>
        <v>0</v>
      </c>
      <c r="DV31" s="21">
        <f t="shared" si="31"/>
        <v>0</v>
      </c>
      <c r="DW31" s="21">
        <f t="shared" si="31"/>
        <v>0</v>
      </c>
      <c r="DX31" s="21">
        <f t="shared" si="31"/>
        <v>0</v>
      </c>
      <c r="DY31" s="21">
        <f t="shared" si="31"/>
        <v>0</v>
      </c>
      <c r="DZ31" s="21">
        <f t="shared" si="31"/>
        <v>0</v>
      </c>
      <c r="EA31" s="21">
        <f t="shared" si="31"/>
        <v>0</v>
      </c>
      <c r="EB31" s="21">
        <f t="shared" si="31"/>
        <v>0</v>
      </c>
      <c r="ED31" s="27">
        <f t="shared" si="11"/>
        <v>300000000</v>
      </c>
      <c r="EE31" s="27">
        <f t="shared" si="15"/>
        <v>300000000</v>
      </c>
      <c r="EF31" s="27">
        <f t="shared" si="16"/>
        <v>300000000</v>
      </c>
    </row>
    <row r="32" spans="1:137" ht="23.25" customHeight="1" x14ac:dyDescent="0.3">
      <c r="A32" s="28"/>
      <c r="B32" s="196"/>
      <c r="C32" s="17" t="s">
        <v>121</v>
      </c>
      <c r="D32" s="29" t="s">
        <v>122</v>
      </c>
      <c r="E32" s="19">
        <v>410</v>
      </c>
      <c r="F32" s="20" t="s">
        <v>114</v>
      </c>
      <c r="G32" s="21">
        <f t="shared" si="23"/>
        <v>111215829</v>
      </c>
      <c r="H32" s="22"/>
      <c r="I32" s="22">
        <f t="shared" si="32"/>
        <v>-111215829</v>
      </c>
      <c r="J32" s="21"/>
      <c r="K32" s="21"/>
      <c r="L32" s="21"/>
      <c r="M32" s="21"/>
      <c r="N32" s="21"/>
      <c r="O32" s="21"/>
      <c r="P32" s="21"/>
      <c r="Q32" s="21">
        <f>11215829+50000000</f>
        <v>61215829</v>
      </c>
      <c r="R32" s="21"/>
      <c r="S32" s="21"/>
      <c r="T32" s="21"/>
      <c r="U32" s="21"/>
      <c r="V32" s="21"/>
      <c r="W32" s="21"/>
      <c r="X32" s="21"/>
      <c r="Y32" s="21"/>
      <c r="Z32" s="21"/>
      <c r="AA32" s="21"/>
      <c r="AB32" s="21">
        <v>50000000</v>
      </c>
      <c r="AC32" s="21"/>
      <c r="AD32" s="21"/>
      <c r="AE32" s="21"/>
      <c r="AF32" s="21"/>
      <c r="AG32" s="23">
        <f t="shared" si="1"/>
        <v>0.16116490036683537</v>
      </c>
      <c r="AH32" s="21">
        <f t="shared" si="24"/>
        <v>17924088</v>
      </c>
      <c r="AI32" s="21"/>
      <c r="AJ32" s="21"/>
      <c r="AK32" s="21"/>
      <c r="AL32" s="21"/>
      <c r="AM32" s="21"/>
      <c r="AN32" s="21"/>
      <c r="AO32" s="21"/>
      <c r="AP32" s="21">
        <f>+'[1]Acuerdo PLAN INVERSIÓN 2021'!$S$1807</f>
        <v>17924088</v>
      </c>
      <c r="AQ32" s="21"/>
      <c r="AR32" s="21"/>
      <c r="AS32" s="21"/>
      <c r="AT32" s="21"/>
      <c r="AU32" s="21"/>
      <c r="AV32" s="21"/>
      <c r="AW32" s="21"/>
      <c r="AX32" s="21"/>
      <c r="AY32" s="21"/>
      <c r="AZ32" s="21"/>
      <c r="BA32" s="21"/>
      <c r="BB32" s="21"/>
      <c r="BC32" s="21"/>
      <c r="BD32" s="21"/>
      <c r="BE32" s="21"/>
      <c r="BF32" s="23">
        <f t="shared" si="13"/>
        <v>0.8388350996331646</v>
      </c>
      <c r="BG32" s="21">
        <f t="shared" si="25"/>
        <v>93291741</v>
      </c>
      <c r="BH32" s="21">
        <f t="shared" si="26"/>
        <v>0</v>
      </c>
      <c r="BI32" s="21">
        <f t="shared" si="26"/>
        <v>0</v>
      </c>
      <c r="BJ32" s="21">
        <f t="shared" si="26"/>
        <v>0</v>
      </c>
      <c r="BK32" s="21">
        <f t="shared" si="26"/>
        <v>0</v>
      </c>
      <c r="BL32" s="21">
        <f t="shared" si="26"/>
        <v>0</v>
      </c>
      <c r="BM32" s="21">
        <f t="shared" si="26"/>
        <v>0</v>
      </c>
      <c r="BN32" s="21">
        <f t="shared" si="26"/>
        <v>0</v>
      </c>
      <c r="BO32" s="21">
        <f t="shared" si="26"/>
        <v>43291741</v>
      </c>
      <c r="BP32" s="21">
        <f t="shared" si="26"/>
        <v>0</v>
      </c>
      <c r="BQ32" s="21">
        <f t="shared" si="26"/>
        <v>0</v>
      </c>
      <c r="BR32" s="21">
        <f t="shared" si="26"/>
        <v>0</v>
      </c>
      <c r="BS32" s="21">
        <f t="shared" si="26"/>
        <v>0</v>
      </c>
      <c r="BT32" s="21">
        <f t="shared" si="26"/>
        <v>0</v>
      </c>
      <c r="BU32" s="21">
        <f t="shared" si="26"/>
        <v>0</v>
      </c>
      <c r="BV32" s="21">
        <f t="shared" si="26"/>
        <v>0</v>
      </c>
      <c r="BW32" s="21">
        <f t="shared" si="26"/>
        <v>0</v>
      </c>
      <c r="BX32" s="21">
        <f t="shared" si="27"/>
        <v>0</v>
      </c>
      <c r="BY32" s="21">
        <f t="shared" si="27"/>
        <v>0</v>
      </c>
      <c r="BZ32" s="21">
        <f t="shared" si="27"/>
        <v>50000000</v>
      </c>
      <c r="CA32" s="21">
        <f t="shared" si="27"/>
        <v>0</v>
      </c>
      <c r="CB32" s="21">
        <f t="shared" si="27"/>
        <v>0</v>
      </c>
      <c r="CC32" s="21">
        <f t="shared" si="27"/>
        <v>0</v>
      </c>
      <c r="CD32" s="21">
        <f t="shared" si="27"/>
        <v>0</v>
      </c>
      <c r="CE32" s="23">
        <f t="shared" si="6"/>
        <v>0.16116490036683537</v>
      </c>
      <c r="CF32" s="21">
        <f t="shared" si="28"/>
        <v>17924088</v>
      </c>
      <c r="CG32" s="21"/>
      <c r="CH32" s="21"/>
      <c r="CI32" s="21"/>
      <c r="CJ32" s="21"/>
      <c r="CK32" s="21"/>
      <c r="CL32" s="21"/>
      <c r="CM32" s="21"/>
      <c r="CN32" s="21">
        <f>+'[1]Acuerdo PLAN INVERSIÓN 2021'!$S$1807</f>
        <v>17924088</v>
      </c>
      <c r="CO32" s="21"/>
      <c r="CP32" s="21"/>
      <c r="CQ32" s="21"/>
      <c r="CR32" s="21"/>
      <c r="CS32" s="21"/>
      <c r="CT32" s="21"/>
      <c r="CU32" s="21"/>
      <c r="CV32" s="21"/>
      <c r="CW32" s="21"/>
      <c r="CX32" s="21"/>
      <c r="CY32" s="21"/>
      <c r="CZ32" s="21"/>
      <c r="DA32" s="21"/>
      <c r="DB32" s="21"/>
      <c r="DC32" s="21"/>
      <c r="DD32" s="23">
        <f t="shared" si="8"/>
        <v>0.8388350996331646</v>
      </c>
      <c r="DE32" s="21">
        <f t="shared" si="29"/>
        <v>93291741</v>
      </c>
      <c r="DF32" s="21">
        <f t="shared" si="30"/>
        <v>0</v>
      </c>
      <c r="DG32" s="21">
        <f t="shared" si="30"/>
        <v>0</v>
      </c>
      <c r="DH32" s="21">
        <f t="shared" si="30"/>
        <v>0</v>
      </c>
      <c r="DI32" s="21">
        <f t="shared" si="30"/>
        <v>0</v>
      </c>
      <c r="DJ32" s="21">
        <f t="shared" si="30"/>
        <v>0</v>
      </c>
      <c r="DK32" s="21">
        <f t="shared" si="30"/>
        <v>0</v>
      </c>
      <c r="DL32" s="21">
        <f t="shared" si="30"/>
        <v>0</v>
      </c>
      <c r="DM32" s="21">
        <f t="shared" si="30"/>
        <v>43291741</v>
      </c>
      <c r="DN32" s="21">
        <f t="shared" si="30"/>
        <v>0</v>
      </c>
      <c r="DO32" s="21">
        <f t="shared" si="30"/>
        <v>0</v>
      </c>
      <c r="DP32" s="21">
        <f t="shared" si="30"/>
        <v>0</v>
      </c>
      <c r="DQ32" s="21">
        <f t="shared" si="30"/>
        <v>0</v>
      </c>
      <c r="DR32" s="21">
        <f t="shared" si="30"/>
        <v>0</v>
      </c>
      <c r="DS32" s="21">
        <f t="shared" si="30"/>
        <v>0</v>
      </c>
      <c r="DT32" s="21">
        <f t="shared" si="30"/>
        <v>0</v>
      </c>
      <c r="DU32" s="21">
        <f t="shared" si="30"/>
        <v>0</v>
      </c>
      <c r="DV32" s="21">
        <f t="shared" si="31"/>
        <v>0</v>
      </c>
      <c r="DW32" s="21">
        <f t="shared" si="31"/>
        <v>0</v>
      </c>
      <c r="DX32" s="21">
        <f t="shared" si="31"/>
        <v>50000000</v>
      </c>
      <c r="DY32" s="21">
        <f t="shared" si="31"/>
        <v>0</v>
      </c>
      <c r="DZ32" s="21">
        <f t="shared" si="31"/>
        <v>0</v>
      </c>
      <c r="EA32" s="21">
        <f t="shared" si="31"/>
        <v>0</v>
      </c>
      <c r="EB32" s="21">
        <f t="shared" si="31"/>
        <v>0</v>
      </c>
      <c r="ED32" s="27">
        <f t="shared" si="11"/>
        <v>111215829</v>
      </c>
      <c r="EE32" s="27">
        <f t="shared" si="15"/>
        <v>111215829</v>
      </c>
      <c r="EF32" s="27">
        <f t="shared" si="16"/>
        <v>111215829</v>
      </c>
    </row>
    <row r="33" spans="1:136" ht="26.25" customHeight="1" x14ac:dyDescent="0.3">
      <c r="A33" s="28"/>
      <c r="B33" s="196"/>
      <c r="C33" s="17" t="s">
        <v>123</v>
      </c>
      <c r="D33" s="29" t="s">
        <v>124</v>
      </c>
      <c r="E33" s="19">
        <v>410</v>
      </c>
      <c r="F33" s="20" t="s">
        <v>125</v>
      </c>
      <c r="G33" s="21">
        <f t="shared" si="23"/>
        <v>296000000</v>
      </c>
      <c r="H33" s="22">
        <v>327960000</v>
      </c>
      <c r="I33" s="22">
        <f t="shared" si="32"/>
        <v>31960000</v>
      </c>
      <c r="J33" s="21"/>
      <c r="K33" s="21"/>
      <c r="L33" s="21"/>
      <c r="M33" s="21"/>
      <c r="N33" s="21"/>
      <c r="O33" s="21"/>
      <c r="P33" s="21"/>
      <c r="Q33" s="21">
        <f>200000000+90000000</f>
        <v>290000000</v>
      </c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1">
        <f>3000000+3000000</f>
        <v>6000000</v>
      </c>
      <c r="AG33" s="23">
        <f t="shared" si="1"/>
        <v>0.6397988986486487</v>
      </c>
      <c r="AH33" s="21">
        <f t="shared" si="24"/>
        <v>189380474</v>
      </c>
      <c r="AI33" s="21"/>
      <c r="AJ33" s="21"/>
      <c r="AK33" s="21"/>
      <c r="AL33" s="21"/>
      <c r="AM33" s="21"/>
      <c r="AN33" s="21"/>
      <c r="AO33" s="21"/>
      <c r="AP33" s="21">
        <f>+'[1]Acuerdo PLAN INVERSIÓN 2021'!$S$1854</f>
        <v>183494474</v>
      </c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>
        <f>+'[1]Acuerdo PLAN INVERSIÓN 2021'!$AF$1854</f>
        <v>5886000</v>
      </c>
      <c r="BF33" s="23">
        <f t="shared" si="13"/>
        <v>0.3602011013513513</v>
      </c>
      <c r="BG33" s="21">
        <f t="shared" si="25"/>
        <v>106619526</v>
      </c>
      <c r="BH33" s="21">
        <f t="shared" si="26"/>
        <v>0</v>
      </c>
      <c r="BI33" s="21">
        <f t="shared" si="26"/>
        <v>0</v>
      </c>
      <c r="BJ33" s="21">
        <f t="shared" si="26"/>
        <v>0</v>
      </c>
      <c r="BK33" s="21">
        <f t="shared" si="26"/>
        <v>0</v>
      </c>
      <c r="BL33" s="21">
        <f t="shared" si="26"/>
        <v>0</v>
      </c>
      <c r="BM33" s="21">
        <f t="shared" si="26"/>
        <v>0</v>
      </c>
      <c r="BN33" s="21">
        <f t="shared" si="26"/>
        <v>0</v>
      </c>
      <c r="BO33" s="21">
        <f t="shared" si="26"/>
        <v>106505526</v>
      </c>
      <c r="BP33" s="21">
        <f t="shared" si="26"/>
        <v>0</v>
      </c>
      <c r="BQ33" s="21">
        <f t="shared" si="26"/>
        <v>0</v>
      </c>
      <c r="BR33" s="21">
        <f t="shared" si="26"/>
        <v>0</v>
      </c>
      <c r="BS33" s="21">
        <f t="shared" si="26"/>
        <v>0</v>
      </c>
      <c r="BT33" s="21">
        <f t="shared" si="26"/>
        <v>0</v>
      </c>
      <c r="BU33" s="21">
        <f t="shared" si="26"/>
        <v>0</v>
      </c>
      <c r="BV33" s="21">
        <f t="shared" si="26"/>
        <v>0</v>
      </c>
      <c r="BW33" s="21">
        <f t="shared" si="26"/>
        <v>0</v>
      </c>
      <c r="BX33" s="21">
        <f t="shared" si="27"/>
        <v>0</v>
      </c>
      <c r="BY33" s="21">
        <f t="shared" si="27"/>
        <v>0</v>
      </c>
      <c r="BZ33" s="21">
        <f t="shared" si="27"/>
        <v>0</v>
      </c>
      <c r="CA33" s="21">
        <f t="shared" si="27"/>
        <v>0</v>
      </c>
      <c r="CB33" s="21">
        <f t="shared" si="27"/>
        <v>0</v>
      </c>
      <c r="CC33" s="21">
        <f t="shared" si="27"/>
        <v>0</v>
      </c>
      <c r="CD33" s="21">
        <f t="shared" si="27"/>
        <v>114000</v>
      </c>
      <c r="CE33" s="23">
        <f t="shared" si="6"/>
        <v>0.6397988986486487</v>
      </c>
      <c r="CF33" s="21">
        <f t="shared" si="28"/>
        <v>189380474</v>
      </c>
      <c r="CG33" s="21"/>
      <c r="CH33" s="21"/>
      <c r="CI33" s="21"/>
      <c r="CJ33" s="21"/>
      <c r="CK33" s="21"/>
      <c r="CL33" s="21"/>
      <c r="CM33" s="21"/>
      <c r="CN33" s="21">
        <f>+'[1]Acuerdo PLAN INVERSIÓN 2021'!$S$1854</f>
        <v>183494474</v>
      </c>
      <c r="CO33" s="21"/>
      <c r="CP33" s="21"/>
      <c r="CQ33" s="21"/>
      <c r="CR33" s="21"/>
      <c r="CS33" s="21"/>
      <c r="CT33" s="21"/>
      <c r="CU33" s="21"/>
      <c r="CV33" s="21"/>
      <c r="CW33" s="21"/>
      <c r="CX33" s="21"/>
      <c r="CY33" s="21"/>
      <c r="CZ33" s="21"/>
      <c r="DA33" s="21"/>
      <c r="DB33" s="21"/>
      <c r="DC33" s="21">
        <f>+'[1]Acuerdo PLAN INVERSIÓN 2021'!$AF$1854</f>
        <v>5886000</v>
      </c>
      <c r="DD33" s="23">
        <f t="shared" si="8"/>
        <v>0.3602011013513513</v>
      </c>
      <c r="DE33" s="21">
        <f t="shared" si="29"/>
        <v>106619526</v>
      </c>
      <c r="DF33" s="21">
        <f t="shared" si="30"/>
        <v>0</v>
      </c>
      <c r="DG33" s="21">
        <f t="shared" si="30"/>
        <v>0</v>
      </c>
      <c r="DH33" s="21">
        <f t="shared" si="30"/>
        <v>0</v>
      </c>
      <c r="DI33" s="21">
        <f t="shared" si="30"/>
        <v>0</v>
      </c>
      <c r="DJ33" s="21">
        <f t="shared" si="30"/>
        <v>0</v>
      </c>
      <c r="DK33" s="21">
        <f t="shared" si="30"/>
        <v>0</v>
      </c>
      <c r="DL33" s="21">
        <f t="shared" si="30"/>
        <v>0</v>
      </c>
      <c r="DM33" s="21">
        <f t="shared" si="30"/>
        <v>106505526</v>
      </c>
      <c r="DN33" s="21">
        <f t="shared" si="30"/>
        <v>0</v>
      </c>
      <c r="DO33" s="21">
        <f t="shared" si="30"/>
        <v>0</v>
      </c>
      <c r="DP33" s="21">
        <f t="shared" si="30"/>
        <v>0</v>
      </c>
      <c r="DQ33" s="21">
        <f t="shared" si="30"/>
        <v>0</v>
      </c>
      <c r="DR33" s="21">
        <f t="shared" si="30"/>
        <v>0</v>
      </c>
      <c r="DS33" s="21">
        <f t="shared" si="30"/>
        <v>0</v>
      </c>
      <c r="DT33" s="21">
        <f t="shared" si="30"/>
        <v>0</v>
      </c>
      <c r="DU33" s="21">
        <f t="shared" si="30"/>
        <v>0</v>
      </c>
      <c r="DV33" s="21">
        <f t="shared" si="31"/>
        <v>0</v>
      </c>
      <c r="DW33" s="21">
        <f t="shared" si="31"/>
        <v>0</v>
      </c>
      <c r="DX33" s="21">
        <f t="shared" si="31"/>
        <v>0</v>
      </c>
      <c r="DY33" s="21">
        <f t="shared" si="31"/>
        <v>0</v>
      </c>
      <c r="DZ33" s="21">
        <f t="shared" si="31"/>
        <v>0</v>
      </c>
      <c r="EA33" s="21">
        <f t="shared" si="31"/>
        <v>0</v>
      </c>
      <c r="EB33" s="21">
        <f t="shared" si="31"/>
        <v>114000</v>
      </c>
      <c r="ED33" s="27">
        <f t="shared" si="11"/>
        <v>296000000</v>
      </c>
      <c r="EE33" s="27">
        <f t="shared" si="15"/>
        <v>296000000</v>
      </c>
      <c r="EF33" s="27">
        <f t="shared" si="16"/>
        <v>296000000</v>
      </c>
    </row>
    <row r="34" spans="1:136" ht="33" customHeight="1" x14ac:dyDescent="0.3">
      <c r="A34" s="167" t="s">
        <v>101</v>
      </c>
      <c r="B34" s="171" t="s">
        <v>126</v>
      </c>
      <c r="C34" s="44" t="s">
        <v>127</v>
      </c>
      <c r="D34" s="29" t="s">
        <v>128</v>
      </c>
      <c r="E34" s="30">
        <v>410</v>
      </c>
      <c r="F34" s="20" t="s">
        <v>129</v>
      </c>
      <c r="G34" s="21">
        <f>SUM(J34:AF34)</f>
        <v>101812653</v>
      </c>
      <c r="H34" s="22">
        <v>207000000</v>
      </c>
      <c r="I34" s="22">
        <f t="shared" si="32"/>
        <v>105187347</v>
      </c>
      <c r="J34" s="21"/>
      <c r="K34" s="21"/>
      <c r="L34" s="21"/>
      <c r="M34" s="21"/>
      <c r="N34" s="21"/>
      <c r="O34" s="21"/>
      <c r="P34" s="21"/>
      <c r="Q34" s="21">
        <f>40000000+12000000</f>
        <v>52000000</v>
      </c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>
        <v>20000000</v>
      </c>
      <c r="AC34" s="21"/>
      <c r="AD34" s="21"/>
      <c r="AE34" s="21"/>
      <c r="AF34" s="21">
        <f>12312653+5000000+5000000+1500000+6000000</f>
        <v>29812653</v>
      </c>
      <c r="AG34" s="23">
        <f t="shared" si="1"/>
        <v>0.46485075877553256</v>
      </c>
      <c r="AH34" s="21">
        <f t="shared" si="24"/>
        <v>47327689</v>
      </c>
      <c r="AI34" s="21"/>
      <c r="AJ34" s="21"/>
      <c r="AK34" s="21"/>
      <c r="AL34" s="21"/>
      <c r="AM34" s="21"/>
      <c r="AN34" s="21"/>
      <c r="AO34" s="21"/>
      <c r="AP34" s="21">
        <f>+'[1]Acuerdo PLAN INVERSIÓN 2021'!$S$1986</f>
        <v>22752096</v>
      </c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>
        <f>+'[1]Acuerdo PLAN INVERSIÓN 2021'!$Y$1986</f>
        <v>8262940</v>
      </c>
      <c r="BB34" s="21"/>
      <c r="BC34" s="21"/>
      <c r="BD34" s="21"/>
      <c r="BE34" s="21">
        <f>+'[1]Acuerdo PLAN INVERSIÓN 2021'!$AF$1986</f>
        <v>16312653</v>
      </c>
      <c r="BF34" s="23">
        <f t="shared" si="13"/>
        <v>0.53514924122446739</v>
      </c>
      <c r="BG34" s="21">
        <f t="shared" si="25"/>
        <v>54484964</v>
      </c>
      <c r="BH34" s="21">
        <f t="shared" si="26"/>
        <v>0</v>
      </c>
      <c r="BI34" s="21">
        <f t="shared" si="26"/>
        <v>0</v>
      </c>
      <c r="BJ34" s="21">
        <f t="shared" si="26"/>
        <v>0</v>
      </c>
      <c r="BK34" s="21">
        <f t="shared" si="26"/>
        <v>0</v>
      </c>
      <c r="BL34" s="21">
        <f t="shared" si="26"/>
        <v>0</v>
      </c>
      <c r="BM34" s="21">
        <f t="shared" si="26"/>
        <v>0</v>
      </c>
      <c r="BN34" s="21">
        <f t="shared" si="26"/>
        <v>0</v>
      </c>
      <c r="BO34" s="21">
        <f t="shared" si="26"/>
        <v>29247904</v>
      </c>
      <c r="BP34" s="21">
        <f t="shared" si="26"/>
        <v>0</v>
      </c>
      <c r="BQ34" s="21">
        <f t="shared" si="26"/>
        <v>0</v>
      </c>
      <c r="BR34" s="21">
        <f t="shared" si="26"/>
        <v>0</v>
      </c>
      <c r="BS34" s="21">
        <f t="shared" si="26"/>
        <v>0</v>
      </c>
      <c r="BT34" s="21">
        <f t="shared" si="26"/>
        <v>0</v>
      </c>
      <c r="BU34" s="21">
        <f t="shared" si="26"/>
        <v>0</v>
      </c>
      <c r="BV34" s="21">
        <f t="shared" si="26"/>
        <v>0</v>
      </c>
      <c r="BW34" s="21">
        <f t="shared" si="26"/>
        <v>0</v>
      </c>
      <c r="BX34" s="21">
        <f t="shared" si="27"/>
        <v>0</v>
      </c>
      <c r="BY34" s="21">
        <f t="shared" si="27"/>
        <v>0</v>
      </c>
      <c r="BZ34" s="21">
        <f t="shared" si="27"/>
        <v>11737060</v>
      </c>
      <c r="CA34" s="21">
        <f t="shared" si="27"/>
        <v>0</v>
      </c>
      <c r="CB34" s="21">
        <f t="shared" si="27"/>
        <v>0</v>
      </c>
      <c r="CC34" s="21">
        <f t="shared" si="27"/>
        <v>0</v>
      </c>
      <c r="CD34" s="21">
        <f t="shared" si="27"/>
        <v>13500000</v>
      </c>
      <c r="CE34" s="23">
        <f t="shared" si="6"/>
        <v>0.46485075877553256</v>
      </c>
      <c r="CF34" s="21">
        <f t="shared" si="28"/>
        <v>47327689</v>
      </c>
      <c r="CG34" s="21"/>
      <c r="CH34" s="21"/>
      <c r="CI34" s="21"/>
      <c r="CJ34" s="21"/>
      <c r="CK34" s="21"/>
      <c r="CL34" s="21"/>
      <c r="CM34" s="21"/>
      <c r="CN34" s="21">
        <f>+'[1]Acuerdo PLAN INVERSIÓN 2021'!$S$1986</f>
        <v>22752096</v>
      </c>
      <c r="CO34" s="21"/>
      <c r="CP34" s="21"/>
      <c r="CQ34" s="21"/>
      <c r="CR34" s="21"/>
      <c r="CS34" s="21"/>
      <c r="CT34" s="21"/>
      <c r="CU34" s="21"/>
      <c r="CV34" s="21"/>
      <c r="CW34" s="21"/>
      <c r="CX34" s="21"/>
      <c r="CY34" s="21">
        <f>+'[1]Acuerdo PLAN INVERSIÓN 2021'!$Y$1986</f>
        <v>8262940</v>
      </c>
      <c r="CZ34" s="21"/>
      <c r="DA34" s="21"/>
      <c r="DB34" s="21"/>
      <c r="DC34" s="21">
        <f>+'[1]Acuerdo PLAN INVERSIÓN 2021'!$AF$1986</f>
        <v>16312653</v>
      </c>
      <c r="DD34" s="23">
        <f t="shared" si="8"/>
        <v>0.53514924122446739</v>
      </c>
      <c r="DE34" s="21">
        <f t="shared" si="29"/>
        <v>54484964</v>
      </c>
      <c r="DF34" s="21">
        <f t="shared" si="30"/>
        <v>0</v>
      </c>
      <c r="DG34" s="21">
        <f t="shared" si="30"/>
        <v>0</v>
      </c>
      <c r="DH34" s="21">
        <f t="shared" si="30"/>
        <v>0</v>
      </c>
      <c r="DI34" s="21">
        <f t="shared" si="30"/>
        <v>0</v>
      </c>
      <c r="DJ34" s="21">
        <f t="shared" si="30"/>
        <v>0</v>
      </c>
      <c r="DK34" s="21">
        <f t="shared" si="30"/>
        <v>0</v>
      </c>
      <c r="DL34" s="21">
        <f t="shared" si="30"/>
        <v>0</v>
      </c>
      <c r="DM34" s="21">
        <f t="shared" si="30"/>
        <v>29247904</v>
      </c>
      <c r="DN34" s="21">
        <f t="shared" si="30"/>
        <v>0</v>
      </c>
      <c r="DO34" s="21">
        <f t="shared" si="30"/>
        <v>0</v>
      </c>
      <c r="DP34" s="21">
        <f t="shared" si="30"/>
        <v>0</v>
      </c>
      <c r="DQ34" s="21">
        <f t="shared" si="30"/>
        <v>0</v>
      </c>
      <c r="DR34" s="21">
        <f t="shared" si="30"/>
        <v>0</v>
      </c>
      <c r="DS34" s="21">
        <f t="shared" si="30"/>
        <v>0</v>
      </c>
      <c r="DT34" s="21">
        <f t="shared" si="30"/>
        <v>0</v>
      </c>
      <c r="DU34" s="21">
        <f t="shared" si="30"/>
        <v>0</v>
      </c>
      <c r="DV34" s="21">
        <f t="shared" si="31"/>
        <v>0</v>
      </c>
      <c r="DW34" s="21">
        <f t="shared" si="31"/>
        <v>0</v>
      </c>
      <c r="DX34" s="21">
        <f t="shared" si="31"/>
        <v>11737060</v>
      </c>
      <c r="DY34" s="21">
        <f t="shared" si="31"/>
        <v>0</v>
      </c>
      <c r="DZ34" s="21">
        <f t="shared" si="31"/>
        <v>0</v>
      </c>
      <c r="EA34" s="21">
        <f t="shared" si="31"/>
        <v>0</v>
      </c>
      <c r="EB34" s="21">
        <f t="shared" si="31"/>
        <v>13500000</v>
      </c>
      <c r="ED34" s="27">
        <f t="shared" si="11"/>
        <v>101812653</v>
      </c>
      <c r="EE34" s="27">
        <f t="shared" si="15"/>
        <v>101812653</v>
      </c>
      <c r="EF34" s="27">
        <f t="shared" si="16"/>
        <v>101812653</v>
      </c>
    </row>
    <row r="35" spans="1:136" ht="53.25" customHeight="1" x14ac:dyDescent="0.3">
      <c r="A35" s="167"/>
      <c r="B35" s="172"/>
      <c r="C35" s="44" t="s">
        <v>130</v>
      </c>
      <c r="D35" s="29" t="s">
        <v>131</v>
      </c>
      <c r="E35" s="30">
        <v>410</v>
      </c>
      <c r="F35" s="45" t="s">
        <v>132</v>
      </c>
      <c r="G35" s="21">
        <f t="shared" si="23"/>
        <v>101000000</v>
      </c>
      <c r="H35" s="22">
        <v>237500000</v>
      </c>
      <c r="I35" s="22">
        <f t="shared" si="32"/>
        <v>136500000</v>
      </c>
      <c r="J35" s="21"/>
      <c r="K35" s="21">
        <v>20000000</v>
      </c>
      <c r="L35" s="21"/>
      <c r="M35" s="21"/>
      <c r="N35" s="21"/>
      <c r="O35" s="21"/>
      <c r="P35" s="21"/>
      <c r="Q35" s="21">
        <f>20000000+12000000</f>
        <v>32000000</v>
      </c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>
        <f>43000000+6000000</f>
        <v>49000000</v>
      </c>
      <c r="AG35" s="23">
        <f t="shared" si="1"/>
        <v>0.48285159405940592</v>
      </c>
      <c r="AH35" s="21">
        <f t="shared" si="24"/>
        <v>48768011</v>
      </c>
      <c r="AI35" s="21"/>
      <c r="AJ35" s="21">
        <f>+'[1]Acuerdo PLAN INVERSIÓN 2021'!$J$2104</f>
        <v>12514269</v>
      </c>
      <c r="AK35" s="21"/>
      <c r="AL35" s="21"/>
      <c r="AM35" s="21"/>
      <c r="AN35" s="21"/>
      <c r="AO35" s="21"/>
      <c r="AP35" s="21">
        <f>+'[1]Acuerdo PLAN INVERSIÓN 2021'!$S$2104</f>
        <v>15913944</v>
      </c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>
        <f>+'[1]Acuerdo PLAN INVERSIÓN 2021'!$AF$2104</f>
        <v>20339798</v>
      </c>
      <c r="BF35" s="23">
        <f t="shared" si="13"/>
        <v>0.51714840594059408</v>
      </c>
      <c r="BG35" s="21">
        <f t="shared" si="25"/>
        <v>52231989</v>
      </c>
      <c r="BH35" s="21">
        <f t="shared" si="26"/>
        <v>0</v>
      </c>
      <c r="BI35" s="21">
        <f t="shared" si="26"/>
        <v>7485731</v>
      </c>
      <c r="BJ35" s="21">
        <f t="shared" si="26"/>
        <v>0</v>
      </c>
      <c r="BK35" s="21">
        <f t="shared" si="26"/>
        <v>0</v>
      </c>
      <c r="BL35" s="21">
        <f t="shared" si="26"/>
        <v>0</v>
      </c>
      <c r="BM35" s="21">
        <f t="shared" si="26"/>
        <v>0</v>
      </c>
      <c r="BN35" s="21">
        <f t="shared" si="26"/>
        <v>0</v>
      </c>
      <c r="BO35" s="21">
        <f t="shared" si="26"/>
        <v>16086056</v>
      </c>
      <c r="BP35" s="21">
        <f t="shared" si="26"/>
        <v>0</v>
      </c>
      <c r="BQ35" s="21">
        <f t="shared" si="26"/>
        <v>0</v>
      </c>
      <c r="BR35" s="21">
        <f t="shared" si="26"/>
        <v>0</v>
      </c>
      <c r="BS35" s="21">
        <f t="shared" si="26"/>
        <v>0</v>
      </c>
      <c r="BT35" s="21">
        <f t="shared" si="26"/>
        <v>0</v>
      </c>
      <c r="BU35" s="21">
        <f t="shared" si="26"/>
        <v>0</v>
      </c>
      <c r="BV35" s="21">
        <f t="shared" si="26"/>
        <v>0</v>
      </c>
      <c r="BW35" s="21">
        <f t="shared" si="26"/>
        <v>0</v>
      </c>
      <c r="BX35" s="21">
        <f t="shared" si="27"/>
        <v>0</v>
      </c>
      <c r="BY35" s="21">
        <f t="shared" si="27"/>
        <v>0</v>
      </c>
      <c r="BZ35" s="21">
        <f t="shared" si="27"/>
        <v>0</v>
      </c>
      <c r="CA35" s="21">
        <f t="shared" si="27"/>
        <v>0</v>
      </c>
      <c r="CB35" s="21">
        <f t="shared" si="27"/>
        <v>0</v>
      </c>
      <c r="CC35" s="21">
        <f t="shared" si="27"/>
        <v>0</v>
      </c>
      <c r="CD35" s="21">
        <f t="shared" si="27"/>
        <v>28660202</v>
      </c>
      <c r="CE35" s="23">
        <f t="shared" si="6"/>
        <v>0.48285159405940592</v>
      </c>
      <c r="CF35" s="21">
        <f t="shared" si="28"/>
        <v>48768011</v>
      </c>
      <c r="CG35" s="21"/>
      <c r="CH35" s="21">
        <f>+'[1]Acuerdo PLAN INVERSIÓN 2021'!$J$2104</f>
        <v>12514269</v>
      </c>
      <c r="CI35" s="21"/>
      <c r="CJ35" s="21"/>
      <c r="CK35" s="21"/>
      <c r="CL35" s="21"/>
      <c r="CM35" s="21"/>
      <c r="CN35" s="21">
        <f>+'[1]Acuerdo PLAN INVERSIÓN 2021'!$S$2104</f>
        <v>15913944</v>
      </c>
      <c r="CO35" s="21"/>
      <c r="CP35" s="21"/>
      <c r="CQ35" s="21"/>
      <c r="CR35" s="21"/>
      <c r="CS35" s="21"/>
      <c r="CT35" s="21"/>
      <c r="CU35" s="21"/>
      <c r="CV35" s="21"/>
      <c r="CW35" s="21"/>
      <c r="CX35" s="21"/>
      <c r="CY35" s="21"/>
      <c r="CZ35" s="21"/>
      <c r="DA35" s="21"/>
      <c r="DB35" s="21"/>
      <c r="DC35" s="21">
        <f>+'[1]Acuerdo PLAN INVERSIÓN 2021'!$AF$2104</f>
        <v>20339798</v>
      </c>
      <c r="DD35" s="23">
        <f t="shared" si="8"/>
        <v>0.51714840594059408</v>
      </c>
      <c r="DE35" s="21">
        <f t="shared" si="29"/>
        <v>52231989</v>
      </c>
      <c r="DF35" s="21">
        <f t="shared" si="30"/>
        <v>0</v>
      </c>
      <c r="DG35" s="21">
        <f t="shared" si="30"/>
        <v>7485731</v>
      </c>
      <c r="DH35" s="21">
        <f t="shared" si="30"/>
        <v>0</v>
      </c>
      <c r="DI35" s="21">
        <f t="shared" si="30"/>
        <v>0</v>
      </c>
      <c r="DJ35" s="21">
        <f t="shared" si="30"/>
        <v>0</v>
      </c>
      <c r="DK35" s="21">
        <f t="shared" si="30"/>
        <v>0</v>
      </c>
      <c r="DL35" s="21">
        <f t="shared" si="30"/>
        <v>0</v>
      </c>
      <c r="DM35" s="21">
        <f t="shared" si="30"/>
        <v>16086056</v>
      </c>
      <c r="DN35" s="21">
        <f t="shared" si="30"/>
        <v>0</v>
      </c>
      <c r="DO35" s="21">
        <f t="shared" si="30"/>
        <v>0</v>
      </c>
      <c r="DP35" s="21">
        <f t="shared" si="30"/>
        <v>0</v>
      </c>
      <c r="DQ35" s="21">
        <f t="shared" si="30"/>
        <v>0</v>
      </c>
      <c r="DR35" s="21">
        <f t="shared" si="30"/>
        <v>0</v>
      </c>
      <c r="DS35" s="21">
        <f t="shared" si="30"/>
        <v>0</v>
      </c>
      <c r="DT35" s="21">
        <f t="shared" si="30"/>
        <v>0</v>
      </c>
      <c r="DU35" s="21">
        <f t="shared" si="30"/>
        <v>0</v>
      </c>
      <c r="DV35" s="21">
        <f t="shared" si="31"/>
        <v>0</v>
      </c>
      <c r="DW35" s="21">
        <f t="shared" si="31"/>
        <v>0</v>
      </c>
      <c r="DX35" s="21">
        <f t="shared" si="31"/>
        <v>0</v>
      </c>
      <c r="DY35" s="21">
        <f t="shared" si="31"/>
        <v>0</v>
      </c>
      <c r="DZ35" s="21">
        <f t="shared" si="31"/>
        <v>0</v>
      </c>
      <c r="EA35" s="21">
        <f t="shared" si="31"/>
        <v>0</v>
      </c>
      <c r="EB35" s="21">
        <f t="shared" si="31"/>
        <v>28660202</v>
      </c>
      <c r="ED35" s="27">
        <f t="shared" si="11"/>
        <v>101000000</v>
      </c>
      <c r="EE35" s="27">
        <f t="shared" si="15"/>
        <v>101000000</v>
      </c>
      <c r="EF35" s="27">
        <f t="shared" si="16"/>
        <v>101000000</v>
      </c>
    </row>
    <row r="36" spans="1:136" ht="37.200000000000003" customHeight="1" x14ac:dyDescent="0.3">
      <c r="A36" s="167"/>
      <c r="B36" s="172"/>
      <c r="C36" s="17" t="s">
        <v>133</v>
      </c>
      <c r="D36" s="29" t="s">
        <v>134</v>
      </c>
      <c r="E36" s="19">
        <v>410</v>
      </c>
      <c r="F36" s="36" t="s">
        <v>135</v>
      </c>
      <c r="G36" s="21">
        <f t="shared" si="23"/>
        <v>58800000</v>
      </c>
      <c r="H36" s="22">
        <v>14000000</v>
      </c>
      <c r="I36" s="22">
        <f t="shared" si="32"/>
        <v>-44800000</v>
      </c>
      <c r="J36" s="21"/>
      <c r="K36" s="21"/>
      <c r="L36" s="21"/>
      <c r="M36" s="21"/>
      <c r="N36" s="21"/>
      <c r="O36" s="21"/>
      <c r="P36" s="21"/>
      <c r="Q36" s="21">
        <f>12000000+10000000</f>
        <v>22000000</v>
      </c>
      <c r="R36" s="21"/>
      <c r="S36" s="21"/>
      <c r="T36" s="21"/>
      <c r="U36" s="21"/>
      <c r="V36" s="21"/>
      <c r="W36" s="21"/>
      <c r="X36" s="21"/>
      <c r="Y36" s="21"/>
      <c r="Z36" s="21"/>
      <c r="AA36" s="21">
        <f>20000000</f>
        <v>20000000</v>
      </c>
      <c r="AB36" s="21"/>
      <c r="AC36" s="21"/>
      <c r="AD36" s="21"/>
      <c r="AE36" s="21"/>
      <c r="AF36" s="21">
        <f>6000000+4000000+6800000</f>
        <v>16800000</v>
      </c>
      <c r="AG36" s="23">
        <f t="shared" si="1"/>
        <v>0.85010445578231297</v>
      </c>
      <c r="AH36" s="21">
        <f t="shared" si="24"/>
        <v>49986142</v>
      </c>
      <c r="AI36" s="21"/>
      <c r="AJ36" s="21"/>
      <c r="AK36" s="21"/>
      <c r="AL36" s="21"/>
      <c r="AM36" s="21"/>
      <c r="AN36" s="21"/>
      <c r="AO36" s="21"/>
      <c r="AP36" s="21">
        <f>+'[1]Acuerdo PLAN INVERSIÓN 2021'!$S$2168</f>
        <v>21810462</v>
      </c>
      <c r="AQ36" s="21"/>
      <c r="AR36" s="21"/>
      <c r="AS36" s="21"/>
      <c r="AT36" s="21"/>
      <c r="AU36" s="21"/>
      <c r="AV36" s="21"/>
      <c r="AW36" s="21"/>
      <c r="AX36" s="21"/>
      <c r="AY36" s="21"/>
      <c r="AZ36" s="21">
        <f>+'[1]Acuerdo PLAN INVERSIÓN 2021'!$X$2168</f>
        <v>11381500</v>
      </c>
      <c r="BA36" s="21"/>
      <c r="BB36" s="21"/>
      <c r="BC36" s="21"/>
      <c r="BD36" s="21"/>
      <c r="BE36" s="21">
        <f>+'[1]Acuerdo PLAN INVERSIÓN 2021'!$AF$2168</f>
        <v>16794180</v>
      </c>
      <c r="BF36" s="23">
        <f t="shared" si="13"/>
        <v>0.14989554421768703</v>
      </c>
      <c r="BG36" s="21">
        <f t="shared" si="25"/>
        <v>8813858</v>
      </c>
      <c r="BH36" s="21">
        <f t="shared" si="26"/>
        <v>0</v>
      </c>
      <c r="BI36" s="21">
        <f t="shared" si="26"/>
        <v>0</v>
      </c>
      <c r="BJ36" s="21">
        <f t="shared" si="26"/>
        <v>0</v>
      </c>
      <c r="BK36" s="21">
        <f t="shared" si="26"/>
        <v>0</v>
      </c>
      <c r="BL36" s="21">
        <f t="shared" si="26"/>
        <v>0</v>
      </c>
      <c r="BM36" s="21">
        <f t="shared" si="26"/>
        <v>0</v>
      </c>
      <c r="BN36" s="21">
        <f t="shared" si="26"/>
        <v>0</v>
      </c>
      <c r="BO36" s="21">
        <f t="shared" si="26"/>
        <v>189538</v>
      </c>
      <c r="BP36" s="21">
        <f t="shared" si="26"/>
        <v>0</v>
      </c>
      <c r="BQ36" s="21">
        <f t="shared" si="26"/>
        <v>0</v>
      </c>
      <c r="BR36" s="21">
        <f t="shared" si="26"/>
        <v>0</v>
      </c>
      <c r="BS36" s="21">
        <f t="shared" si="26"/>
        <v>0</v>
      </c>
      <c r="BT36" s="21">
        <f t="shared" si="26"/>
        <v>0</v>
      </c>
      <c r="BU36" s="21">
        <f t="shared" si="26"/>
        <v>0</v>
      </c>
      <c r="BV36" s="21">
        <f t="shared" si="26"/>
        <v>0</v>
      </c>
      <c r="BW36" s="21">
        <f t="shared" si="26"/>
        <v>0</v>
      </c>
      <c r="BX36" s="21">
        <f t="shared" si="27"/>
        <v>0</v>
      </c>
      <c r="BY36" s="21">
        <f t="shared" si="27"/>
        <v>8618500</v>
      </c>
      <c r="BZ36" s="21">
        <f t="shared" si="27"/>
        <v>0</v>
      </c>
      <c r="CA36" s="21">
        <f t="shared" si="27"/>
        <v>0</v>
      </c>
      <c r="CB36" s="21">
        <f t="shared" si="27"/>
        <v>0</v>
      </c>
      <c r="CC36" s="21">
        <f t="shared" si="27"/>
        <v>0</v>
      </c>
      <c r="CD36" s="21">
        <f t="shared" si="27"/>
        <v>5820</v>
      </c>
      <c r="CE36" s="23">
        <f t="shared" si="6"/>
        <v>0.85010445578231297</v>
      </c>
      <c r="CF36" s="21">
        <f t="shared" si="28"/>
        <v>49986142</v>
      </c>
      <c r="CG36" s="21"/>
      <c r="CH36" s="21"/>
      <c r="CI36" s="21"/>
      <c r="CJ36" s="21"/>
      <c r="CK36" s="21"/>
      <c r="CL36" s="21"/>
      <c r="CM36" s="21"/>
      <c r="CN36" s="21">
        <f>+'[1]Acuerdo PLAN INVERSIÓN 2021'!$S$2168</f>
        <v>21810462</v>
      </c>
      <c r="CO36" s="21"/>
      <c r="CP36" s="21"/>
      <c r="CQ36" s="21"/>
      <c r="CR36" s="21"/>
      <c r="CS36" s="21"/>
      <c r="CT36" s="21"/>
      <c r="CU36" s="21"/>
      <c r="CV36" s="21"/>
      <c r="CW36" s="21"/>
      <c r="CX36" s="21">
        <f>+'[1]Acuerdo PLAN INVERSIÓN 2021'!$X$2168</f>
        <v>11381500</v>
      </c>
      <c r="CY36" s="21"/>
      <c r="CZ36" s="21"/>
      <c r="DA36" s="21"/>
      <c r="DB36" s="21"/>
      <c r="DC36" s="21">
        <f>+'[1]Acuerdo PLAN INVERSIÓN 2021'!$AF$2168</f>
        <v>16794180</v>
      </c>
      <c r="DD36" s="23">
        <f t="shared" si="8"/>
        <v>0.14989554421768703</v>
      </c>
      <c r="DE36" s="21">
        <f t="shared" si="29"/>
        <v>8813858</v>
      </c>
      <c r="DF36" s="21">
        <f t="shared" si="30"/>
        <v>0</v>
      </c>
      <c r="DG36" s="21">
        <f t="shared" si="30"/>
        <v>0</v>
      </c>
      <c r="DH36" s="21">
        <f t="shared" si="30"/>
        <v>0</v>
      </c>
      <c r="DI36" s="21">
        <f t="shared" si="30"/>
        <v>0</v>
      </c>
      <c r="DJ36" s="21">
        <f t="shared" si="30"/>
        <v>0</v>
      </c>
      <c r="DK36" s="21">
        <f t="shared" si="30"/>
        <v>0</v>
      </c>
      <c r="DL36" s="21">
        <f t="shared" si="30"/>
        <v>0</v>
      </c>
      <c r="DM36" s="21">
        <f t="shared" si="30"/>
        <v>189538</v>
      </c>
      <c r="DN36" s="21">
        <f t="shared" si="30"/>
        <v>0</v>
      </c>
      <c r="DO36" s="21">
        <f t="shared" si="30"/>
        <v>0</v>
      </c>
      <c r="DP36" s="21">
        <f t="shared" si="30"/>
        <v>0</v>
      </c>
      <c r="DQ36" s="21">
        <f t="shared" si="30"/>
        <v>0</v>
      </c>
      <c r="DR36" s="21">
        <f t="shared" si="30"/>
        <v>0</v>
      </c>
      <c r="DS36" s="21">
        <f t="shared" si="30"/>
        <v>0</v>
      </c>
      <c r="DT36" s="21">
        <f t="shared" si="30"/>
        <v>0</v>
      </c>
      <c r="DU36" s="21">
        <f t="shared" si="30"/>
        <v>0</v>
      </c>
      <c r="DV36" s="21">
        <f t="shared" si="31"/>
        <v>0</v>
      </c>
      <c r="DW36" s="21">
        <f t="shared" si="31"/>
        <v>8618500</v>
      </c>
      <c r="DX36" s="21">
        <f t="shared" si="31"/>
        <v>0</v>
      </c>
      <c r="DY36" s="21">
        <f t="shared" si="31"/>
        <v>0</v>
      </c>
      <c r="DZ36" s="21">
        <f t="shared" si="31"/>
        <v>0</v>
      </c>
      <c r="EA36" s="21">
        <f t="shared" si="31"/>
        <v>0</v>
      </c>
      <c r="EB36" s="21">
        <f t="shared" si="31"/>
        <v>5820</v>
      </c>
      <c r="EC36" s="46"/>
      <c r="ED36" s="27">
        <f t="shared" si="11"/>
        <v>58800000</v>
      </c>
      <c r="EE36" s="27">
        <f t="shared" si="15"/>
        <v>58800000</v>
      </c>
      <c r="EF36" s="27">
        <f t="shared" si="16"/>
        <v>58800000</v>
      </c>
    </row>
    <row r="37" spans="1:136" ht="32.4" customHeight="1" x14ac:dyDescent="0.3">
      <c r="A37" s="167"/>
      <c r="B37" s="172"/>
      <c r="C37" s="17" t="s">
        <v>136</v>
      </c>
      <c r="D37" s="29" t="s">
        <v>137</v>
      </c>
      <c r="E37" s="19">
        <v>410</v>
      </c>
      <c r="F37" s="20" t="s">
        <v>138</v>
      </c>
      <c r="G37" s="21">
        <f t="shared" si="23"/>
        <v>414000000</v>
      </c>
      <c r="H37" s="22">
        <f>280000000+500000000</f>
        <v>780000000</v>
      </c>
      <c r="I37" s="22">
        <f t="shared" si="32"/>
        <v>366000000</v>
      </c>
      <c r="J37" s="21"/>
      <c r="K37" s="21"/>
      <c r="L37" s="21"/>
      <c r="M37" s="21"/>
      <c r="N37" s="21"/>
      <c r="O37" s="21"/>
      <c r="P37" s="21"/>
      <c r="Q37" s="21">
        <f>260000000+90000000-16000000</f>
        <v>334000000</v>
      </c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>
        <f>33000000+2000000+10000000+10000000+25000000</f>
        <v>80000000</v>
      </c>
      <c r="AG37" s="23">
        <f t="shared" si="1"/>
        <v>0.72797269806763287</v>
      </c>
      <c r="AH37" s="21">
        <f t="shared" si="24"/>
        <v>301380697</v>
      </c>
      <c r="AI37" s="21"/>
      <c r="AJ37" s="21"/>
      <c r="AK37" s="21"/>
      <c r="AL37" s="21"/>
      <c r="AM37" s="21"/>
      <c r="AN37" s="21"/>
      <c r="AO37" s="21"/>
      <c r="AP37" s="21">
        <f>+'[1]Acuerdo PLAN INVERSIÓN 2021'!$S$2208</f>
        <v>222151297</v>
      </c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>
        <f>+'[1]Acuerdo PLAN INVERSIÓN 2021'!$AF$2208</f>
        <v>79229400</v>
      </c>
      <c r="BF37" s="23">
        <f t="shared" si="13"/>
        <v>0.27202730193236713</v>
      </c>
      <c r="BG37" s="21">
        <f t="shared" si="25"/>
        <v>112619303</v>
      </c>
      <c r="BH37" s="21">
        <f t="shared" si="26"/>
        <v>0</v>
      </c>
      <c r="BI37" s="21">
        <f t="shared" si="26"/>
        <v>0</v>
      </c>
      <c r="BJ37" s="21">
        <f t="shared" si="26"/>
        <v>0</v>
      </c>
      <c r="BK37" s="21">
        <f t="shared" si="26"/>
        <v>0</v>
      </c>
      <c r="BL37" s="21">
        <f t="shared" si="26"/>
        <v>0</v>
      </c>
      <c r="BM37" s="21">
        <f t="shared" si="26"/>
        <v>0</v>
      </c>
      <c r="BN37" s="21">
        <f t="shared" si="26"/>
        <v>0</v>
      </c>
      <c r="BO37" s="21">
        <f t="shared" si="26"/>
        <v>111848703</v>
      </c>
      <c r="BP37" s="21">
        <f t="shared" si="26"/>
        <v>0</v>
      </c>
      <c r="BQ37" s="21">
        <f t="shared" si="26"/>
        <v>0</v>
      </c>
      <c r="BR37" s="21">
        <f t="shared" si="26"/>
        <v>0</v>
      </c>
      <c r="BS37" s="21">
        <f t="shared" si="26"/>
        <v>0</v>
      </c>
      <c r="BT37" s="21">
        <f t="shared" si="26"/>
        <v>0</v>
      </c>
      <c r="BU37" s="21">
        <f t="shared" si="26"/>
        <v>0</v>
      </c>
      <c r="BV37" s="21">
        <f t="shared" si="26"/>
        <v>0</v>
      </c>
      <c r="BW37" s="21">
        <f t="shared" si="26"/>
        <v>0</v>
      </c>
      <c r="BX37" s="21">
        <f t="shared" si="27"/>
        <v>0</v>
      </c>
      <c r="BY37" s="21">
        <f t="shared" si="27"/>
        <v>0</v>
      </c>
      <c r="BZ37" s="21">
        <f t="shared" si="27"/>
        <v>0</v>
      </c>
      <c r="CA37" s="21">
        <f t="shared" si="27"/>
        <v>0</v>
      </c>
      <c r="CB37" s="21">
        <f t="shared" si="27"/>
        <v>0</v>
      </c>
      <c r="CC37" s="21">
        <f t="shared" si="27"/>
        <v>0</v>
      </c>
      <c r="CD37" s="21">
        <f t="shared" si="27"/>
        <v>770600</v>
      </c>
      <c r="CE37" s="23">
        <f t="shared" si="6"/>
        <v>0.72797269806763287</v>
      </c>
      <c r="CF37" s="21">
        <f t="shared" si="28"/>
        <v>301380697</v>
      </c>
      <c r="CG37" s="21"/>
      <c r="CH37" s="21"/>
      <c r="CI37" s="21"/>
      <c r="CJ37" s="21"/>
      <c r="CK37" s="21"/>
      <c r="CL37" s="21"/>
      <c r="CM37" s="21"/>
      <c r="CN37" s="21">
        <f>+'[1]Acuerdo PLAN INVERSIÓN 2021'!$S$2208</f>
        <v>222151297</v>
      </c>
      <c r="CO37" s="21"/>
      <c r="CP37" s="21"/>
      <c r="CQ37" s="21"/>
      <c r="CR37" s="21"/>
      <c r="CS37" s="21"/>
      <c r="CT37" s="21"/>
      <c r="CU37" s="21"/>
      <c r="CV37" s="21"/>
      <c r="CW37" s="21"/>
      <c r="CX37" s="21"/>
      <c r="CY37" s="21"/>
      <c r="CZ37" s="21"/>
      <c r="DA37" s="21"/>
      <c r="DB37" s="21"/>
      <c r="DC37" s="21">
        <f>+'[1]Acuerdo PLAN INVERSIÓN 2021'!$AF$2208</f>
        <v>79229400</v>
      </c>
      <c r="DD37" s="23">
        <f t="shared" si="8"/>
        <v>0.27202730193236713</v>
      </c>
      <c r="DE37" s="21">
        <f t="shared" si="29"/>
        <v>112619303</v>
      </c>
      <c r="DF37" s="21">
        <f t="shared" si="30"/>
        <v>0</v>
      </c>
      <c r="DG37" s="21">
        <f t="shared" si="30"/>
        <v>0</v>
      </c>
      <c r="DH37" s="21">
        <f t="shared" si="30"/>
        <v>0</v>
      </c>
      <c r="DI37" s="21">
        <f t="shared" si="30"/>
        <v>0</v>
      </c>
      <c r="DJ37" s="21">
        <f t="shared" si="30"/>
        <v>0</v>
      </c>
      <c r="DK37" s="21">
        <f t="shared" si="30"/>
        <v>0</v>
      </c>
      <c r="DL37" s="21">
        <f t="shared" si="30"/>
        <v>0</v>
      </c>
      <c r="DM37" s="21">
        <f t="shared" si="30"/>
        <v>111848703</v>
      </c>
      <c r="DN37" s="21">
        <f t="shared" si="30"/>
        <v>0</v>
      </c>
      <c r="DO37" s="21">
        <f t="shared" si="30"/>
        <v>0</v>
      </c>
      <c r="DP37" s="21">
        <f t="shared" si="30"/>
        <v>0</v>
      </c>
      <c r="DQ37" s="21">
        <f t="shared" si="30"/>
        <v>0</v>
      </c>
      <c r="DR37" s="21">
        <f t="shared" si="30"/>
        <v>0</v>
      </c>
      <c r="DS37" s="21">
        <f t="shared" si="30"/>
        <v>0</v>
      </c>
      <c r="DT37" s="21">
        <f t="shared" si="30"/>
        <v>0</v>
      </c>
      <c r="DU37" s="21">
        <f t="shared" si="30"/>
        <v>0</v>
      </c>
      <c r="DV37" s="21">
        <f t="shared" si="31"/>
        <v>0</v>
      </c>
      <c r="DW37" s="21">
        <f t="shared" si="31"/>
        <v>0</v>
      </c>
      <c r="DX37" s="21">
        <f t="shared" si="31"/>
        <v>0</v>
      </c>
      <c r="DY37" s="21">
        <f t="shared" si="31"/>
        <v>0</v>
      </c>
      <c r="DZ37" s="21">
        <f t="shared" si="31"/>
        <v>0</v>
      </c>
      <c r="EA37" s="21">
        <f t="shared" si="31"/>
        <v>0</v>
      </c>
      <c r="EB37" s="21">
        <f t="shared" si="31"/>
        <v>770600</v>
      </c>
      <c r="EC37" s="46"/>
      <c r="ED37" s="27">
        <f t="shared" si="11"/>
        <v>414000000</v>
      </c>
      <c r="EE37" s="27">
        <f t="shared" si="15"/>
        <v>414000000</v>
      </c>
      <c r="EF37" s="27">
        <f t="shared" si="16"/>
        <v>414000000</v>
      </c>
    </row>
    <row r="38" spans="1:136" ht="33.75" customHeight="1" x14ac:dyDescent="0.3">
      <c r="A38" s="167"/>
      <c r="B38" s="172"/>
      <c r="C38" s="44" t="s">
        <v>139</v>
      </c>
      <c r="D38" s="29" t="s">
        <v>140</v>
      </c>
      <c r="E38" s="30">
        <v>410</v>
      </c>
      <c r="F38" s="31" t="s">
        <v>141</v>
      </c>
      <c r="G38" s="21">
        <f t="shared" si="23"/>
        <v>694924898</v>
      </c>
      <c r="H38" s="22">
        <f>312000000+68000000</f>
        <v>380000000</v>
      </c>
      <c r="I38" s="22">
        <f t="shared" si="32"/>
        <v>-314924898</v>
      </c>
      <c r="J38" s="21"/>
      <c r="K38" s="21"/>
      <c r="L38" s="21"/>
      <c r="M38" s="21"/>
      <c r="N38" s="21"/>
      <c r="O38" s="21"/>
      <c r="P38" s="21"/>
      <c r="Q38" s="21">
        <f>300000000+60000000-5883333</f>
        <v>354116667</v>
      </c>
      <c r="R38" s="21"/>
      <c r="S38" s="21">
        <f>65000000+65000000</f>
        <v>130000000</v>
      </c>
      <c r="T38" s="21"/>
      <c r="U38" s="21"/>
      <c r="V38" s="21"/>
      <c r="W38" s="21"/>
      <c r="X38" s="21">
        <v>44699850</v>
      </c>
      <c r="Y38" s="21"/>
      <c r="Z38" s="21"/>
      <c r="AA38" s="21"/>
      <c r="AB38" s="21"/>
      <c r="AC38" s="21"/>
      <c r="AD38" s="21"/>
      <c r="AE38" s="21"/>
      <c r="AF38" s="21">
        <f>70000000+14000000+10000000+49193553+6000000+8738094+8176734</f>
        <v>166108381</v>
      </c>
      <c r="AG38" s="23">
        <f t="shared" si="1"/>
        <v>0.36396935082904452</v>
      </c>
      <c r="AH38" s="21">
        <f t="shared" si="24"/>
        <v>252931364</v>
      </c>
      <c r="AI38" s="21"/>
      <c r="AJ38" s="21"/>
      <c r="AK38" s="21"/>
      <c r="AL38" s="21"/>
      <c r="AM38" s="21"/>
      <c r="AN38" s="21"/>
      <c r="AO38" s="21"/>
      <c r="AP38" s="21">
        <f>+'[1]Acuerdo PLAN INVERSIÓN 2021'!$S$2400</f>
        <v>156612361</v>
      </c>
      <c r="AQ38" s="21"/>
      <c r="AR38" s="21">
        <f>+'[1]Acuerdo PLAN INVERSIÓN 2021'!$U$2400</f>
        <v>7535729</v>
      </c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>
        <f>+'[1]Acuerdo PLAN INVERSIÓN 2021'!$AF$2400</f>
        <v>88783274</v>
      </c>
      <c r="BF38" s="23">
        <f t="shared" si="13"/>
        <v>0.63603064917095553</v>
      </c>
      <c r="BG38" s="21">
        <f t="shared" si="25"/>
        <v>441993534</v>
      </c>
      <c r="BH38" s="21">
        <f t="shared" si="26"/>
        <v>0</v>
      </c>
      <c r="BI38" s="21">
        <f t="shared" si="26"/>
        <v>0</v>
      </c>
      <c r="BJ38" s="21">
        <f t="shared" si="26"/>
        <v>0</v>
      </c>
      <c r="BK38" s="21">
        <f t="shared" si="26"/>
        <v>0</v>
      </c>
      <c r="BL38" s="21">
        <f t="shared" si="26"/>
        <v>0</v>
      </c>
      <c r="BM38" s="21">
        <f t="shared" si="26"/>
        <v>0</v>
      </c>
      <c r="BN38" s="21">
        <f t="shared" si="26"/>
        <v>0</v>
      </c>
      <c r="BO38" s="21">
        <f t="shared" si="26"/>
        <v>197504306</v>
      </c>
      <c r="BP38" s="21">
        <f t="shared" si="26"/>
        <v>0</v>
      </c>
      <c r="BQ38" s="21">
        <f t="shared" si="26"/>
        <v>122464271</v>
      </c>
      <c r="BR38" s="21">
        <f t="shared" si="26"/>
        <v>0</v>
      </c>
      <c r="BS38" s="21">
        <f t="shared" si="26"/>
        <v>0</v>
      </c>
      <c r="BT38" s="21">
        <f t="shared" si="26"/>
        <v>0</v>
      </c>
      <c r="BU38" s="21">
        <f t="shared" si="26"/>
        <v>0</v>
      </c>
      <c r="BV38" s="21">
        <f t="shared" si="26"/>
        <v>44699850</v>
      </c>
      <c r="BW38" s="21">
        <f t="shared" si="26"/>
        <v>0</v>
      </c>
      <c r="BX38" s="21">
        <f t="shared" si="27"/>
        <v>0</v>
      </c>
      <c r="BY38" s="21">
        <f t="shared" si="27"/>
        <v>0</v>
      </c>
      <c r="BZ38" s="21">
        <f t="shared" si="27"/>
        <v>0</v>
      </c>
      <c r="CA38" s="21">
        <f t="shared" si="27"/>
        <v>0</v>
      </c>
      <c r="CB38" s="21">
        <f t="shared" si="27"/>
        <v>0</v>
      </c>
      <c r="CC38" s="21">
        <f t="shared" si="27"/>
        <v>0</v>
      </c>
      <c r="CD38" s="21">
        <f t="shared" si="27"/>
        <v>77325107</v>
      </c>
      <c r="CE38" s="23">
        <f t="shared" si="6"/>
        <v>0.36396935082904452</v>
      </c>
      <c r="CF38" s="21">
        <f t="shared" si="28"/>
        <v>252931364</v>
      </c>
      <c r="CG38" s="21"/>
      <c r="CH38" s="21"/>
      <c r="CI38" s="21"/>
      <c r="CJ38" s="21"/>
      <c r="CK38" s="21"/>
      <c r="CL38" s="21"/>
      <c r="CM38" s="21"/>
      <c r="CN38" s="21">
        <f>+'[1]Acuerdo PLAN INVERSIÓN 2021'!$S$2400</f>
        <v>156612361</v>
      </c>
      <c r="CO38" s="21"/>
      <c r="CP38" s="21">
        <f>+'[1]Acuerdo PLAN INVERSIÓN 2021'!$U$2400</f>
        <v>7535729</v>
      </c>
      <c r="CQ38" s="21"/>
      <c r="CR38" s="21"/>
      <c r="CS38" s="21"/>
      <c r="CT38" s="21"/>
      <c r="CU38" s="21"/>
      <c r="CV38" s="21"/>
      <c r="CW38" s="21"/>
      <c r="CX38" s="21"/>
      <c r="CY38" s="21"/>
      <c r="CZ38" s="21"/>
      <c r="DA38" s="21"/>
      <c r="DB38" s="21"/>
      <c r="DC38" s="21">
        <f>+'[1]Acuerdo PLAN INVERSIÓN 2021'!$AF$2400</f>
        <v>88783274</v>
      </c>
      <c r="DD38" s="23">
        <f t="shared" si="8"/>
        <v>0.63603064917095553</v>
      </c>
      <c r="DE38" s="21">
        <f t="shared" si="29"/>
        <v>441993534</v>
      </c>
      <c r="DF38" s="21">
        <f t="shared" si="30"/>
        <v>0</v>
      </c>
      <c r="DG38" s="21">
        <f t="shared" si="30"/>
        <v>0</v>
      </c>
      <c r="DH38" s="21">
        <f t="shared" si="30"/>
        <v>0</v>
      </c>
      <c r="DI38" s="21">
        <f t="shared" si="30"/>
        <v>0</v>
      </c>
      <c r="DJ38" s="21">
        <f t="shared" si="30"/>
        <v>0</v>
      </c>
      <c r="DK38" s="21">
        <f t="shared" si="30"/>
        <v>0</v>
      </c>
      <c r="DL38" s="21">
        <f t="shared" si="30"/>
        <v>0</v>
      </c>
      <c r="DM38" s="21">
        <f t="shared" si="30"/>
        <v>197504306</v>
      </c>
      <c r="DN38" s="21">
        <f t="shared" si="30"/>
        <v>0</v>
      </c>
      <c r="DO38" s="21">
        <f t="shared" si="30"/>
        <v>122464271</v>
      </c>
      <c r="DP38" s="21">
        <f t="shared" si="30"/>
        <v>0</v>
      </c>
      <c r="DQ38" s="21">
        <f t="shared" si="30"/>
        <v>0</v>
      </c>
      <c r="DR38" s="21">
        <f t="shared" si="30"/>
        <v>0</v>
      </c>
      <c r="DS38" s="21">
        <f t="shared" si="30"/>
        <v>0</v>
      </c>
      <c r="DT38" s="21">
        <f t="shared" si="30"/>
        <v>44699850</v>
      </c>
      <c r="DU38" s="21">
        <f t="shared" si="30"/>
        <v>0</v>
      </c>
      <c r="DV38" s="21">
        <f t="shared" si="31"/>
        <v>0</v>
      </c>
      <c r="DW38" s="21">
        <f t="shared" si="31"/>
        <v>0</v>
      </c>
      <c r="DX38" s="21">
        <f t="shared" si="31"/>
        <v>0</v>
      </c>
      <c r="DY38" s="21">
        <f t="shared" si="31"/>
        <v>0</v>
      </c>
      <c r="DZ38" s="21">
        <f t="shared" si="31"/>
        <v>0</v>
      </c>
      <c r="EA38" s="21">
        <f t="shared" si="31"/>
        <v>0</v>
      </c>
      <c r="EB38" s="21">
        <f t="shared" si="31"/>
        <v>77325107</v>
      </c>
      <c r="ED38" s="27">
        <f t="shared" si="11"/>
        <v>694924898</v>
      </c>
      <c r="EE38" s="27">
        <f t="shared" si="15"/>
        <v>694924898</v>
      </c>
      <c r="EF38" s="27">
        <f t="shared" si="16"/>
        <v>694924898</v>
      </c>
    </row>
    <row r="39" spans="1:136" ht="18.75" customHeight="1" x14ac:dyDescent="0.3">
      <c r="A39" s="167"/>
      <c r="B39" s="172"/>
      <c r="C39" s="17" t="s">
        <v>142</v>
      </c>
      <c r="D39" s="29" t="s">
        <v>143</v>
      </c>
      <c r="E39" s="19">
        <v>410</v>
      </c>
      <c r="F39" s="31" t="s">
        <v>105</v>
      </c>
      <c r="G39" s="21">
        <f t="shared" si="23"/>
        <v>70883333</v>
      </c>
      <c r="H39" s="22">
        <v>36000000</v>
      </c>
      <c r="I39" s="22">
        <f t="shared" si="32"/>
        <v>-34883333</v>
      </c>
      <c r="J39" s="21"/>
      <c r="K39" s="21">
        <v>30000000</v>
      </c>
      <c r="L39" s="21"/>
      <c r="M39" s="21"/>
      <c r="N39" s="21"/>
      <c r="O39" s="21"/>
      <c r="P39" s="21"/>
      <c r="Q39" s="21">
        <f>30000000+5000000+5883333</f>
        <v>40883333</v>
      </c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3">
        <f t="shared" si="1"/>
        <v>0.99741358098948307</v>
      </c>
      <c r="AH39" s="21">
        <f t="shared" si="24"/>
        <v>70699999</v>
      </c>
      <c r="AI39" s="21"/>
      <c r="AJ39" s="21">
        <f>+'[4]Acuerdo PLAN INVERSIÓN 2021'!$J$1014</f>
        <v>30000000</v>
      </c>
      <c r="AK39" s="21"/>
      <c r="AL39" s="21"/>
      <c r="AM39" s="21"/>
      <c r="AN39" s="21"/>
      <c r="AO39" s="21"/>
      <c r="AP39" s="21">
        <f>+'[1]Acuerdo PLAN INVERSIÓN 2021'!$S$2699</f>
        <v>40699999</v>
      </c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3">
        <f t="shared" si="13"/>
        <v>2.5864190105169271E-3</v>
      </c>
      <c r="BG39" s="21">
        <f t="shared" si="25"/>
        <v>183334</v>
      </c>
      <c r="BH39" s="21">
        <f t="shared" si="26"/>
        <v>0</v>
      </c>
      <c r="BI39" s="21">
        <f t="shared" si="26"/>
        <v>0</v>
      </c>
      <c r="BJ39" s="21">
        <f t="shared" si="26"/>
        <v>0</v>
      </c>
      <c r="BK39" s="21">
        <f t="shared" si="26"/>
        <v>0</v>
      </c>
      <c r="BL39" s="21">
        <f t="shared" si="26"/>
        <v>0</v>
      </c>
      <c r="BM39" s="21">
        <f t="shared" si="26"/>
        <v>0</v>
      </c>
      <c r="BN39" s="21">
        <f t="shared" si="26"/>
        <v>0</v>
      </c>
      <c r="BO39" s="21">
        <f t="shared" si="26"/>
        <v>183334</v>
      </c>
      <c r="BP39" s="21">
        <f t="shared" si="26"/>
        <v>0</v>
      </c>
      <c r="BQ39" s="21">
        <f t="shared" si="26"/>
        <v>0</v>
      </c>
      <c r="BR39" s="21">
        <f t="shared" si="26"/>
        <v>0</v>
      </c>
      <c r="BS39" s="21">
        <f t="shared" si="26"/>
        <v>0</v>
      </c>
      <c r="BT39" s="21">
        <f t="shared" si="26"/>
        <v>0</v>
      </c>
      <c r="BU39" s="21">
        <f t="shared" si="26"/>
        <v>0</v>
      </c>
      <c r="BV39" s="21">
        <f t="shared" si="26"/>
        <v>0</v>
      </c>
      <c r="BW39" s="21">
        <f t="shared" si="26"/>
        <v>0</v>
      </c>
      <c r="BX39" s="21">
        <f t="shared" si="27"/>
        <v>0</v>
      </c>
      <c r="BY39" s="21">
        <f t="shared" si="27"/>
        <v>0</v>
      </c>
      <c r="BZ39" s="21">
        <f t="shared" si="27"/>
        <v>0</v>
      </c>
      <c r="CA39" s="21">
        <f t="shared" si="27"/>
        <v>0</v>
      </c>
      <c r="CB39" s="21">
        <f t="shared" si="27"/>
        <v>0</v>
      </c>
      <c r="CC39" s="21">
        <f t="shared" si="27"/>
        <v>0</v>
      </c>
      <c r="CD39" s="21">
        <f t="shared" si="27"/>
        <v>0</v>
      </c>
      <c r="CE39" s="23">
        <f t="shared" si="6"/>
        <v>0.99741358098948307</v>
      </c>
      <c r="CF39" s="21">
        <f t="shared" si="28"/>
        <v>70699999</v>
      </c>
      <c r="CG39" s="21"/>
      <c r="CH39" s="21">
        <f>+'[4]Acuerdo PLAN INVERSIÓN 2021'!$J$1014</f>
        <v>30000000</v>
      </c>
      <c r="CI39" s="21"/>
      <c r="CJ39" s="21"/>
      <c r="CK39" s="21"/>
      <c r="CL39" s="21"/>
      <c r="CM39" s="21"/>
      <c r="CN39" s="21">
        <f>+'[1]Acuerdo PLAN INVERSIÓN 2021'!$S$2699</f>
        <v>40699999</v>
      </c>
      <c r="CO39" s="21"/>
      <c r="CP39" s="21"/>
      <c r="CQ39" s="21"/>
      <c r="CR39" s="21"/>
      <c r="CS39" s="21"/>
      <c r="CT39" s="21"/>
      <c r="CU39" s="21"/>
      <c r="CV39" s="21"/>
      <c r="CW39" s="21"/>
      <c r="CX39" s="21"/>
      <c r="CY39" s="21"/>
      <c r="CZ39" s="21"/>
      <c r="DA39" s="21"/>
      <c r="DB39" s="21"/>
      <c r="DC39" s="21"/>
      <c r="DD39" s="23">
        <f t="shared" si="8"/>
        <v>2.5864190105169271E-3</v>
      </c>
      <c r="DE39" s="21">
        <f t="shared" si="29"/>
        <v>183334</v>
      </c>
      <c r="DF39" s="21">
        <f t="shared" si="30"/>
        <v>0</v>
      </c>
      <c r="DG39" s="21">
        <f t="shared" si="30"/>
        <v>0</v>
      </c>
      <c r="DH39" s="21">
        <f t="shared" si="30"/>
        <v>0</v>
      </c>
      <c r="DI39" s="21">
        <f t="shared" si="30"/>
        <v>0</v>
      </c>
      <c r="DJ39" s="21">
        <f t="shared" si="30"/>
        <v>0</v>
      </c>
      <c r="DK39" s="21">
        <f t="shared" si="30"/>
        <v>0</v>
      </c>
      <c r="DL39" s="21">
        <f t="shared" si="30"/>
        <v>0</v>
      </c>
      <c r="DM39" s="21">
        <f t="shared" si="30"/>
        <v>183334</v>
      </c>
      <c r="DN39" s="21">
        <f t="shared" si="30"/>
        <v>0</v>
      </c>
      <c r="DO39" s="21">
        <f t="shared" si="30"/>
        <v>0</v>
      </c>
      <c r="DP39" s="21">
        <f t="shared" si="30"/>
        <v>0</v>
      </c>
      <c r="DQ39" s="21">
        <f t="shared" si="30"/>
        <v>0</v>
      </c>
      <c r="DR39" s="21">
        <f t="shared" si="30"/>
        <v>0</v>
      </c>
      <c r="DS39" s="21">
        <f t="shared" si="30"/>
        <v>0</v>
      </c>
      <c r="DT39" s="21">
        <f t="shared" si="30"/>
        <v>0</v>
      </c>
      <c r="DU39" s="21">
        <f t="shared" si="30"/>
        <v>0</v>
      </c>
      <c r="DV39" s="21">
        <f t="shared" si="31"/>
        <v>0</v>
      </c>
      <c r="DW39" s="21">
        <f t="shared" si="31"/>
        <v>0</v>
      </c>
      <c r="DX39" s="21">
        <f t="shared" si="31"/>
        <v>0</v>
      </c>
      <c r="DY39" s="21">
        <f t="shared" si="31"/>
        <v>0</v>
      </c>
      <c r="DZ39" s="21">
        <f t="shared" si="31"/>
        <v>0</v>
      </c>
      <c r="EA39" s="21">
        <f t="shared" si="31"/>
        <v>0</v>
      </c>
      <c r="EB39" s="21">
        <f t="shared" si="31"/>
        <v>0</v>
      </c>
      <c r="ED39" s="27">
        <f t="shared" si="11"/>
        <v>70883333</v>
      </c>
      <c r="EE39" s="27">
        <f t="shared" si="15"/>
        <v>70883333</v>
      </c>
      <c r="EF39" s="27">
        <f t="shared" si="16"/>
        <v>70883333</v>
      </c>
    </row>
    <row r="40" spans="1:136" ht="27.75" customHeight="1" x14ac:dyDescent="0.3">
      <c r="A40" s="167"/>
      <c r="B40" s="172"/>
      <c r="C40" s="17" t="s">
        <v>144</v>
      </c>
      <c r="D40" s="29" t="s">
        <v>145</v>
      </c>
      <c r="E40" s="19">
        <v>410</v>
      </c>
      <c r="F40" s="31" t="s">
        <v>146</v>
      </c>
      <c r="G40" s="21">
        <f t="shared" si="23"/>
        <v>146000000</v>
      </c>
      <c r="H40" s="22">
        <v>122400000</v>
      </c>
      <c r="I40" s="22">
        <f t="shared" si="32"/>
        <v>-23600000</v>
      </c>
      <c r="J40" s="21"/>
      <c r="K40" s="21"/>
      <c r="L40" s="21"/>
      <c r="M40" s="21"/>
      <c r="N40" s="21"/>
      <c r="O40" s="21"/>
      <c r="P40" s="21"/>
      <c r="Q40" s="21">
        <f>50000000+90000000</f>
        <v>140000000</v>
      </c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>
        <f>3000000+2000000+7000000-6000000</f>
        <v>6000000</v>
      </c>
      <c r="AG40" s="23">
        <f t="shared" si="1"/>
        <v>0.42681685616438358</v>
      </c>
      <c r="AH40" s="21">
        <f t="shared" si="24"/>
        <v>62315261</v>
      </c>
      <c r="AI40" s="21"/>
      <c r="AJ40" s="21"/>
      <c r="AK40" s="21"/>
      <c r="AL40" s="21"/>
      <c r="AM40" s="21"/>
      <c r="AN40" s="21"/>
      <c r="AO40" s="21"/>
      <c r="AP40" s="21">
        <f>+'[1]Acuerdo PLAN INVERSIÓN 2021'!$S$2721</f>
        <v>61315261</v>
      </c>
      <c r="AQ40" s="21"/>
      <c r="AR40" s="21"/>
      <c r="AS40" s="21"/>
      <c r="AT40" s="21"/>
      <c r="AU40" s="21"/>
      <c r="AV40" s="21"/>
      <c r="AW40" s="21"/>
      <c r="AX40" s="21"/>
      <c r="AY40" s="21"/>
      <c r="AZ40" s="21"/>
      <c r="BA40" s="21"/>
      <c r="BB40" s="21"/>
      <c r="BC40" s="21"/>
      <c r="BD40" s="21"/>
      <c r="BE40" s="21">
        <f>+'[1]Acuerdo PLAN INVERSIÓN 2021'!$AF$2721</f>
        <v>1000000</v>
      </c>
      <c r="BF40" s="23">
        <f t="shared" si="13"/>
        <v>0.57318314383561642</v>
      </c>
      <c r="BG40" s="21">
        <f t="shared" si="25"/>
        <v>83684739</v>
      </c>
      <c r="BH40" s="21">
        <f t="shared" si="26"/>
        <v>0</v>
      </c>
      <c r="BI40" s="21">
        <f t="shared" si="26"/>
        <v>0</v>
      </c>
      <c r="BJ40" s="21">
        <f t="shared" si="26"/>
        <v>0</v>
      </c>
      <c r="BK40" s="21">
        <f t="shared" si="26"/>
        <v>0</v>
      </c>
      <c r="BL40" s="21">
        <f t="shared" si="26"/>
        <v>0</v>
      </c>
      <c r="BM40" s="21">
        <f t="shared" si="26"/>
        <v>0</v>
      </c>
      <c r="BN40" s="21">
        <f t="shared" si="26"/>
        <v>0</v>
      </c>
      <c r="BO40" s="21">
        <f t="shared" si="26"/>
        <v>78684739</v>
      </c>
      <c r="BP40" s="21">
        <f t="shared" si="26"/>
        <v>0</v>
      </c>
      <c r="BQ40" s="21">
        <f t="shared" si="26"/>
        <v>0</v>
      </c>
      <c r="BR40" s="21">
        <f t="shared" si="26"/>
        <v>0</v>
      </c>
      <c r="BS40" s="21">
        <f t="shared" si="26"/>
        <v>0</v>
      </c>
      <c r="BT40" s="21">
        <f t="shared" si="26"/>
        <v>0</v>
      </c>
      <c r="BU40" s="21">
        <f t="shared" si="26"/>
        <v>0</v>
      </c>
      <c r="BV40" s="21">
        <f t="shared" si="26"/>
        <v>0</v>
      </c>
      <c r="BW40" s="21">
        <f t="shared" ref="BW40:BW49" si="33">+Y40-AX40</f>
        <v>0</v>
      </c>
      <c r="BX40" s="21">
        <f t="shared" si="27"/>
        <v>0</v>
      </c>
      <c r="BY40" s="21">
        <f t="shared" si="27"/>
        <v>0</v>
      </c>
      <c r="BZ40" s="21">
        <f t="shared" si="27"/>
        <v>0</v>
      </c>
      <c r="CA40" s="21">
        <f t="shared" si="27"/>
        <v>0</v>
      </c>
      <c r="CB40" s="21">
        <f t="shared" si="27"/>
        <v>0</v>
      </c>
      <c r="CC40" s="21">
        <f t="shared" si="27"/>
        <v>0</v>
      </c>
      <c r="CD40" s="21">
        <f t="shared" si="27"/>
        <v>5000000</v>
      </c>
      <c r="CE40" s="23">
        <f t="shared" si="6"/>
        <v>0.42681685616438358</v>
      </c>
      <c r="CF40" s="21">
        <f t="shared" si="28"/>
        <v>62315261</v>
      </c>
      <c r="CG40" s="21"/>
      <c r="CH40" s="21"/>
      <c r="CI40" s="21"/>
      <c r="CJ40" s="21"/>
      <c r="CK40" s="21"/>
      <c r="CL40" s="21"/>
      <c r="CM40" s="21"/>
      <c r="CN40" s="21">
        <f>+'[1]Acuerdo PLAN INVERSIÓN 2021'!$S$2721</f>
        <v>61315261</v>
      </c>
      <c r="CO40" s="21"/>
      <c r="CP40" s="21"/>
      <c r="CQ40" s="21"/>
      <c r="CR40" s="21"/>
      <c r="CS40" s="21"/>
      <c r="CT40" s="21"/>
      <c r="CU40" s="21"/>
      <c r="CV40" s="21"/>
      <c r="CW40" s="21"/>
      <c r="CX40" s="21"/>
      <c r="CY40" s="21"/>
      <c r="CZ40" s="21"/>
      <c r="DA40" s="21"/>
      <c r="DB40" s="21"/>
      <c r="DC40" s="21">
        <f>+'[1]Acuerdo PLAN INVERSIÓN 2021'!$AF$2721</f>
        <v>1000000</v>
      </c>
      <c r="DD40" s="23">
        <f t="shared" si="8"/>
        <v>0.57318314383561642</v>
      </c>
      <c r="DE40" s="21">
        <f t="shared" si="29"/>
        <v>83684739</v>
      </c>
      <c r="DF40" s="21">
        <f t="shared" si="30"/>
        <v>0</v>
      </c>
      <c r="DG40" s="21">
        <f t="shared" si="30"/>
        <v>0</v>
      </c>
      <c r="DH40" s="21">
        <f t="shared" si="30"/>
        <v>0</v>
      </c>
      <c r="DI40" s="21">
        <f t="shared" si="30"/>
        <v>0</v>
      </c>
      <c r="DJ40" s="21">
        <f t="shared" si="30"/>
        <v>0</v>
      </c>
      <c r="DK40" s="21">
        <f t="shared" si="30"/>
        <v>0</v>
      </c>
      <c r="DL40" s="21">
        <f t="shared" si="30"/>
        <v>0</v>
      </c>
      <c r="DM40" s="21">
        <f t="shared" si="30"/>
        <v>78684739</v>
      </c>
      <c r="DN40" s="21">
        <f t="shared" si="30"/>
        <v>0</v>
      </c>
      <c r="DO40" s="21">
        <f t="shared" si="30"/>
        <v>0</v>
      </c>
      <c r="DP40" s="21">
        <f t="shared" si="30"/>
        <v>0</v>
      </c>
      <c r="DQ40" s="21">
        <f t="shared" si="30"/>
        <v>0</v>
      </c>
      <c r="DR40" s="21">
        <f t="shared" si="30"/>
        <v>0</v>
      </c>
      <c r="DS40" s="21">
        <f t="shared" si="30"/>
        <v>0</v>
      </c>
      <c r="DT40" s="21">
        <f t="shared" si="30"/>
        <v>0</v>
      </c>
      <c r="DU40" s="21">
        <f t="shared" ref="DU40:DU49" si="34">+Y40-CV40</f>
        <v>0</v>
      </c>
      <c r="DV40" s="21">
        <f t="shared" si="31"/>
        <v>0</v>
      </c>
      <c r="DW40" s="21">
        <f t="shared" si="31"/>
        <v>0</v>
      </c>
      <c r="DX40" s="21">
        <f t="shared" si="31"/>
        <v>0</v>
      </c>
      <c r="DY40" s="21">
        <f t="shared" si="31"/>
        <v>0</v>
      </c>
      <c r="DZ40" s="21">
        <f t="shared" si="31"/>
        <v>0</v>
      </c>
      <c r="EA40" s="21">
        <f t="shared" si="31"/>
        <v>0</v>
      </c>
      <c r="EB40" s="21">
        <f t="shared" si="31"/>
        <v>5000000</v>
      </c>
      <c r="ED40" s="27">
        <f t="shared" si="11"/>
        <v>146000000</v>
      </c>
      <c r="EE40" s="27">
        <f t="shared" si="15"/>
        <v>146000000</v>
      </c>
      <c r="EF40" s="27">
        <f t="shared" si="16"/>
        <v>146000000</v>
      </c>
    </row>
    <row r="41" spans="1:136" ht="31.5" customHeight="1" x14ac:dyDescent="0.3">
      <c r="A41" s="167"/>
      <c r="B41" s="172"/>
      <c r="C41" s="17" t="s">
        <v>147</v>
      </c>
      <c r="D41" s="29" t="s">
        <v>148</v>
      </c>
      <c r="E41" s="19">
        <v>410</v>
      </c>
      <c r="F41" s="31" t="s">
        <v>105</v>
      </c>
      <c r="G41" s="21">
        <f t="shared" si="23"/>
        <v>50000000</v>
      </c>
      <c r="H41" s="22">
        <v>62000000</v>
      </c>
      <c r="I41" s="22">
        <f t="shared" si="32"/>
        <v>12000000</v>
      </c>
      <c r="J41" s="21"/>
      <c r="K41" s="21"/>
      <c r="L41" s="21"/>
      <c r="M41" s="21"/>
      <c r="N41" s="21"/>
      <c r="O41" s="21"/>
      <c r="P41" s="21"/>
      <c r="Q41" s="21">
        <v>15000000</v>
      </c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>
        <v>35000000</v>
      </c>
      <c r="AC41" s="21"/>
      <c r="AD41" s="21"/>
      <c r="AE41" s="21"/>
      <c r="AF41" s="21"/>
      <c r="AG41" s="23">
        <f t="shared" si="1"/>
        <v>0.38433331999999998</v>
      </c>
      <c r="AH41" s="21">
        <f t="shared" si="24"/>
        <v>19216666</v>
      </c>
      <c r="AI41" s="21"/>
      <c r="AJ41" s="21"/>
      <c r="AK41" s="21"/>
      <c r="AL41" s="21"/>
      <c r="AM41" s="21"/>
      <c r="AN41" s="21"/>
      <c r="AO41" s="21"/>
      <c r="AP41" s="21">
        <f>+'[1]Acuerdo PLAN INVERSIÓN 2021'!$S$2751</f>
        <v>9216667</v>
      </c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>
        <f>+'[1]Acuerdo PLAN INVERSIÓN 2021'!$Y$2751</f>
        <v>9999999</v>
      </c>
      <c r="BB41" s="21"/>
      <c r="BC41" s="21"/>
      <c r="BD41" s="21"/>
      <c r="BE41" s="21"/>
      <c r="BF41" s="23">
        <f t="shared" si="13"/>
        <v>0.61566668000000002</v>
      </c>
      <c r="BG41" s="21">
        <f t="shared" si="25"/>
        <v>30783334</v>
      </c>
      <c r="BH41" s="21">
        <f t="shared" ref="BH41:BV49" si="35">+J41-AI41</f>
        <v>0</v>
      </c>
      <c r="BI41" s="21">
        <f t="shared" si="35"/>
        <v>0</v>
      </c>
      <c r="BJ41" s="21">
        <f t="shared" si="35"/>
        <v>0</v>
      </c>
      <c r="BK41" s="21">
        <f t="shared" si="35"/>
        <v>0</v>
      </c>
      <c r="BL41" s="21">
        <f t="shared" si="35"/>
        <v>0</v>
      </c>
      <c r="BM41" s="21">
        <f t="shared" si="35"/>
        <v>0</v>
      </c>
      <c r="BN41" s="21">
        <f t="shared" si="35"/>
        <v>0</v>
      </c>
      <c r="BO41" s="21">
        <f t="shared" si="35"/>
        <v>5783333</v>
      </c>
      <c r="BP41" s="21">
        <f t="shared" si="35"/>
        <v>0</v>
      </c>
      <c r="BQ41" s="21">
        <f t="shared" si="35"/>
        <v>0</v>
      </c>
      <c r="BR41" s="21">
        <f t="shared" si="35"/>
        <v>0</v>
      </c>
      <c r="BS41" s="21">
        <f t="shared" si="35"/>
        <v>0</v>
      </c>
      <c r="BT41" s="21">
        <f t="shared" si="35"/>
        <v>0</v>
      </c>
      <c r="BU41" s="21">
        <f t="shared" si="35"/>
        <v>0</v>
      </c>
      <c r="BV41" s="21">
        <f t="shared" si="35"/>
        <v>0</v>
      </c>
      <c r="BW41" s="21">
        <f t="shared" si="33"/>
        <v>0</v>
      </c>
      <c r="BX41" s="21">
        <f t="shared" si="27"/>
        <v>0</v>
      </c>
      <c r="BY41" s="21">
        <f t="shared" si="27"/>
        <v>0</v>
      </c>
      <c r="BZ41" s="21">
        <f t="shared" si="27"/>
        <v>25000001</v>
      </c>
      <c r="CA41" s="21">
        <f t="shared" si="27"/>
        <v>0</v>
      </c>
      <c r="CB41" s="21">
        <f t="shared" si="27"/>
        <v>0</v>
      </c>
      <c r="CC41" s="21">
        <f t="shared" si="27"/>
        <v>0</v>
      </c>
      <c r="CD41" s="21">
        <f t="shared" si="27"/>
        <v>0</v>
      </c>
      <c r="CE41" s="23">
        <f t="shared" si="6"/>
        <v>0.38433331999999998</v>
      </c>
      <c r="CF41" s="21">
        <f t="shared" si="28"/>
        <v>19216666</v>
      </c>
      <c r="CG41" s="21"/>
      <c r="CH41" s="21"/>
      <c r="CI41" s="21"/>
      <c r="CJ41" s="21"/>
      <c r="CK41" s="21"/>
      <c r="CL41" s="21"/>
      <c r="CM41" s="21"/>
      <c r="CN41" s="21">
        <f>+'[9]Acuerdo PLAN INVERSIÓN 2021'!$H$273</f>
        <v>9216667</v>
      </c>
      <c r="CO41" s="21"/>
      <c r="CP41" s="21"/>
      <c r="CQ41" s="21"/>
      <c r="CR41" s="21"/>
      <c r="CS41" s="21"/>
      <c r="CT41" s="21"/>
      <c r="CU41" s="21"/>
      <c r="CV41" s="21"/>
      <c r="CW41" s="21"/>
      <c r="CX41" s="21"/>
      <c r="CY41" s="21">
        <f>+'[8]Acuerdo PLAN INVERSIÓN 2021'!$H$2108</f>
        <v>9999999</v>
      </c>
      <c r="CZ41" s="21"/>
      <c r="DA41" s="21"/>
      <c r="DB41" s="21"/>
      <c r="DC41" s="21"/>
      <c r="DD41" s="23">
        <f t="shared" si="8"/>
        <v>0.61566668000000002</v>
      </c>
      <c r="DE41" s="21">
        <f t="shared" si="29"/>
        <v>30783334</v>
      </c>
      <c r="DF41" s="21">
        <f t="shared" ref="DF41:DT49" si="36">+J41-CG41</f>
        <v>0</v>
      </c>
      <c r="DG41" s="21">
        <f t="shared" si="36"/>
        <v>0</v>
      </c>
      <c r="DH41" s="21">
        <f t="shared" si="36"/>
        <v>0</v>
      </c>
      <c r="DI41" s="21">
        <f t="shared" si="36"/>
        <v>0</v>
      </c>
      <c r="DJ41" s="21">
        <f t="shared" si="36"/>
        <v>0</v>
      </c>
      <c r="DK41" s="21">
        <f t="shared" si="36"/>
        <v>0</v>
      </c>
      <c r="DL41" s="21">
        <f t="shared" si="36"/>
        <v>0</v>
      </c>
      <c r="DM41" s="21">
        <f t="shared" si="36"/>
        <v>5783333</v>
      </c>
      <c r="DN41" s="21">
        <f t="shared" si="36"/>
        <v>0</v>
      </c>
      <c r="DO41" s="21">
        <f t="shared" si="36"/>
        <v>0</v>
      </c>
      <c r="DP41" s="21">
        <f t="shared" si="36"/>
        <v>0</v>
      </c>
      <c r="DQ41" s="21">
        <f t="shared" si="36"/>
        <v>0</v>
      </c>
      <c r="DR41" s="21">
        <f t="shared" si="36"/>
        <v>0</v>
      </c>
      <c r="DS41" s="21">
        <f t="shared" si="36"/>
        <v>0</v>
      </c>
      <c r="DT41" s="21">
        <f t="shared" si="36"/>
        <v>0</v>
      </c>
      <c r="DU41" s="21">
        <f t="shared" si="34"/>
        <v>0</v>
      </c>
      <c r="DV41" s="21">
        <f t="shared" si="31"/>
        <v>0</v>
      </c>
      <c r="DW41" s="21">
        <f t="shared" si="31"/>
        <v>0</v>
      </c>
      <c r="DX41" s="21">
        <f t="shared" si="31"/>
        <v>25000001</v>
      </c>
      <c r="DY41" s="21">
        <f t="shared" si="31"/>
        <v>0</v>
      </c>
      <c r="DZ41" s="21">
        <f t="shared" si="31"/>
        <v>0</v>
      </c>
      <c r="EA41" s="21">
        <f t="shared" si="31"/>
        <v>0</v>
      </c>
      <c r="EB41" s="21">
        <f t="shared" si="31"/>
        <v>0</v>
      </c>
      <c r="ED41" s="27">
        <f t="shared" si="11"/>
        <v>50000000</v>
      </c>
      <c r="EE41" s="27">
        <f t="shared" si="15"/>
        <v>50000000</v>
      </c>
      <c r="EF41" s="27">
        <f t="shared" si="16"/>
        <v>50000000</v>
      </c>
    </row>
    <row r="42" spans="1:136" ht="21.75" customHeight="1" x14ac:dyDescent="0.3">
      <c r="A42" s="167"/>
      <c r="B42" s="172"/>
      <c r="C42" s="17" t="s">
        <v>149</v>
      </c>
      <c r="D42" s="29" t="s">
        <v>150</v>
      </c>
      <c r="E42" s="19">
        <v>410</v>
      </c>
      <c r="F42" s="31" t="s">
        <v>105</v>
      </c>
      <c r="G42" s="21">
        <f t="shared" si="23"/>
        <v>397484326</v>
      </c>
      <c r="H42" s="22">
        <v>324000000</v>
      </c>
      <c r="I42" s="22">
        <f t="shared" si="32"/>
        <v>-73484326</v>
      </c>
      <c r="J42" s="21"/>
      <c r="K42" s="21"/>
      <c r="L42" s="21"/>
      <c r="M42" s="21"/>
      <c r="N42" s="21"/>
      <c r="O42" s="21"/>
      <c r="P42" s="21"/>
      <c r="Q42" s="21">
        <f>135000000+16000000</f>
        <v>151000000</v>
      </c>
      <c r="R42" s="21"/>
      <c r="S42" s="21"/>
      <c r="T42" s="21"/>
      <c r="U42" s="21"/>
      <c r="V42" s="21"/>
      <c r="W42" s="21"/>
      <c r="X42" s="21"/>
      <c r="Y42" s="21"/>
      <c r="Z42" s="21"/>
      <c r="AA42" s="21">
        <f>266484326-20000000</f>
        <v>246484326</v>
      </c>
      <c r="AB42" s="21"/>
      <c r="AC42" s="21"/>
      <c r="AD42" s="21"/>
      <c r="AE42" s="21"/>
      <c r="AF42" s="21"/>
      <c r="AG42" s="23">
        <f t="shared" si="1"/>
        <v>0.80220548369497213</v>
      </c>
      <c r="AH42" s="21">
        <f t="shared" si="24"/>
        <v>318864106</v>
      </c>
      <c r="AI42" s="21"/>
      <c r="AJ42" s="21"/>
      <c r="AK42" s="21"/>
      <c r="AL42" s="21"/>
      <c r="AM42" s="21"/>
      <c r="AN42" s="21"/>
      <c r="AO42" s="21"/>
      <c r="AP42" s="21">
        <f>+'[1]Acuerdo PLAN INVERSIÓN 2021'!$S$2760</f>
        <v>146825695</v>
      </c>
      <c r="AQ42" s="21"/>
      <c r="AR42" s="21"/>
      <c r="AS42" s="21"/>
      <c r="AT42" s="21"/>
      <c r="AU42" s="21"/>
      <c r="AV42" s="21"/>
      <c r="AW42" s="21"/>
      <c r="AX42" s="21"/>
      <c r="AY42" s="21"/>
      <c r="AZ42" s="21">
        <f>+'[1]Acuerdo PLAN INVERSIÓN 2021'!$X$2760</f>
        <v>172038411</v>
      </c>
      <c r="BA42" s="21"/>
      <c r="BB42" s="21"/>
      <c r="BC42" s="21"/>
      <c r="BD42" s="21"/>
      <c r="BE42" s="21"/>
      <c r="BF42" s="23">
        <f t="shared" si="13"/>
        <v>0.19779451630502787</v>
      </c>
      <c r="BG42" s="21">
        <f t="shared" si="25"/>
        <v>78620220</v>
      </c>
      <c r="BH42" s="21">
        <f t="shared" si="35"/>
        <v>0</v>
      </c>
      <c r="BI42" s="21">
        <f t="shared" si="35"/>
        <v>0</v>
      </c>
      <c r="BJ42" s="21">
        <f t="shared" si="35"/>
        <v>0</v>
      </c>
      <c r="BK42" s="21">
        <f t="shared" si="35"/>
        <v>0</v>
      </c>
      <c r="BL42" s="21">
        <f t="shared" si="35"/>
        <v>0</v>
      </c>
      <c r="BM42" s="21">
        <f t="shared" si="35"/>
        <v>0</v>
      </c>
      <c r="BN42" s="21">
        <f t="shared" si="35"/>
        <v>0</v>
      </c>
      <c r="BO42" s="21">
        <f t="shared" si="35"/>
        <v>4174305</v>
      </c>
      <c r="BP42" s="21">
        <f t="shared" si="35"/>
        <v>0</v>
      </c>
      <c r="BQ42" s="21">
        <f t="shared" si="35"/>
        <v>0</v>
      </c>
      <c r="BR42" s="21">
        <f t="shared" si="35"/>
        <v>0</v>
      </c>
      <c r="BS42" s="21">
        <f t="shared" si="35"/>
        <v>0</v>
      </c>
      <c r="BT42" s="21">
        <f t="shared" si="35"/>
        <v>0</v>
      </c>
      <c r="BU42" s="21">
        <f t="shared" si="35"/>
        <v>0</v>
      </c>
      <c r="BV42" s="21">
        <f t="shared" si="35"/>
        <v>0</v>
      </c>
      <c r="BW42" s="21">
        <f t="shared" si="33"/>
        <v>0</v>
      </c>
      <c r="BX42" s="21">
        <f t="shared" si="27"/>
        <v>0</v>
      </c>
      <c r="BY42" s="21">
        <f t="shared" si="27"/>
        <v>74445915</v>
      </c>
      <c r="BZ42" s="21">
        <f t="shared" si="27"/>
        <v>0</v>
      </c>
      <c r="CA42" s="21">
        <f t="shared" si="27"/>
        <v>0</v>
      </c>
      <c r="CB42" s="21">
        <f t="shared" si="27"/>
        <v>0</v>
      </c>
      <c r="CC42" s="21">
        <f t="shared" si="27"/>
        <v>0</v>
      </c>
      <c r="CD42" s="21">
        <f t="shared" si="27"/>
        <v>0</v>
      </c>
      <c r="CE42" s="23">
        <f t="shared" si="6"/>
        <v>0.80220548369497213</v>
      </c>
      <c r="CF42" s="21">
        <f t="shared" si="28"/>
        <v>318864106</v>
      </c>
      <c r="CG42" s="21"/>
      <c r="CH42" s="21"/>
      <c r="CI42" s="21"/>
      <c r="CJ42" s="21"/>
      <c r="CK42" s="21"/>
      <c r="CL42" s="21"/>
      <c r="CM42" s="21"/>
      <c r="CN42" s="21">
        <f>+'[1]Acuerdo PLAN INVERSIÓN 2021'!$S$2760</f>
        <v>146825695</v>
      </c>
      <c r="CO42" s="21"/>
      <c r="CP42" s="21"/>
      <c r="CQ42" s="21"/>
      <c r="CR42" s="21"/>
      <c r="CS42" s="21"/>
      <c r="CT42" s="21"/>
      <c r="CU42" s="21"/>
      <c r="CV42" s="21"/>
      <c r="CW42" s="21"/>
      <c r="CX42" s="21">
        <f>+'[1]Acuerdo PLAN INVERSIÓN 2021'!$X$2760</f>
        <v>172038411</v>
      </c>
      <c r="CY42" s="21"/>
      <c r="CZ42" s="21"/>
      <c r="DA42" s="21"/>
      <c r="DB42" s="21"/>
      <c r="DC42" s="21"/>
      <c r="DD42" s="23">
        <f t="shared" si="8"/>
        <v>0.19779451630502787</v>
      </c>
      <c r="DE42" s="21">
        <f t="shared" si="29"/>
        <v>78620220</v>
      </c>
      <c r="DF42" s="21">
        <f t="shared" si="36"/>
        <v>0</v>
      </c>
      <c r="DG42" s="21">
        <f t="shared" si="36"/>
        <v>0</v>
      </c>
      <c r="DH42" s="21">
        <f t="shared" si="36"/>
        <v>0</v>
      </c>
      <c r="DI42" s="21">
        <f t="shared" si="36"/>
        <v>0</v>
      </c>
      <c r="DJ42" s="21">
        <f t="shared" si="36"/>
        <v>0</v>
      </c>
      <c r="DK42" s="21">
        <f t="shared" si="36"/>
        <v>0</v>
      </c>
      <c r="DL42" s="21">
        <f t="shared" si="36"/>
        <v>0</v>
      </c>
      <c r="DM42" s="21">
        <f t="shared" si="36"/>
        <v>4174305</v>
      </c>
      <c r="DN42" s="21">
        <f t="shared" si="36"/>
        <v>0</v>
      </c>
      <c r="DO42" s="21">
        <f t="shared" si="36"/>
        <v>0</v>
      </c>
      <c r="DP42" s="21">
        <f t="shared" si="36"/>
        <v>0</v>
      </c>
      <c r="DQ42" s="21">
        <f t="shared" si="36"/>
        <v>0</v>
      </c>
      <c r="DR42" s="21">
        <f t="shared" si="36"/>
        <v>0</v>
      </c>
      <c r="DS42" s="21">
        <f t="shared" si="36"/>
        <v>0</v>
      </c>
      <c r="DT42" s="21">
        <f t="shared" si="36"/>
        <v>0</v>
      </c>
      <c r="DU42" s="21">
        <f t="shared" si="34"/>
        <v>0</v>
      </c>
      <c r="DV42" s="21">
        <f t="shared" si="31"/>
        <v>0</v>
      </c>
      <c r="DW42" s="21">
        <f t="shared" si="31"/>
        <v>74445915</v>
      </c>
      <c r="DX42" s="21">
        <f t="shared" si="31"/>
        <v>0</v>
      </c>
      <c r="DY42" s="21">
        <f t="shared" si="31"/>
        <v>0</v>
      </c>
      <c r="DZ42" s="21">
        <f t="shared" si="31"/>
        <v>0</v>
      </c>
      <c r="EA42" s="21">
        <f t="shared" si="31"/>
        <v>0</v>
      </c>
      <c r="EB42" s="21">
        <f t="shared" si="31"/>
        <v>0</v>
      </c>
      <c r="ED42" s="27">
        <f t="shared" si="11"/>
        <v>397484326</v>
      </c>
      <c r="EE42" s="27">
        <f t="shared" si="15"/>
        <v>397484326</v>
      </c>
      <c r="EF42" s="27">
        <f t="shared" si="16"/>
        <v>397484326</v>
      </c>
    </row>
    <row r="43" spans="1:136" ht="21" customHeight="1" x14ac:dyDescent="0.3">
      <c r="A43" s="167"/>
      <c r="B43" s="172"/>
      <c r="C43" s="17" t="s">
        <v>151</v>
      </c>
      <c r="D43" s="29" t="s">
        <v>152</v>
      </c>
      <c r="E43" s="19">
        <v>410</v>
      </c>
      <c r="F43" s="31" t="s">
        <v>153</v>
      </c>
      <c r="G43" s="21">
        <f t="shared" si="23"/>
        <v>700996742</v>
      </c>
      <c r="H43" s="22">
        <v>800000000</v>
      </c>
      <c r="I43" s="22">
        <f t="shared" si="32"/>
        <v>99003258</v>
      </c>
      <c r="J43" s="21"/>
      <c r="K43" s="21">
        <v>100000000</v>
      </c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>
        <v>110000000</v>
      </c>
      <c r="AB43" s="21"/>
      <c r="AC43" s="21"/>
      <c r="AD43" s="21">
        <f>23477088+125613658+7274332+7900227+86506451+49870081+143707904+31647001</f>
        <v>475996742</v>
      </c>
      <c r="AE43" s="21"/>
      <c r="AF43" s="21">
        <f>15000000+10000000-10000000</f>
        <v>15000000</v>
      </c>
      <c r="AG43" s="23">
        <f t="shared" si="1"/>
        <v>0.70130026367511988</v>
      </c>
      <c r="AH43" s="21">
        <f t="shared" si="24"/>
        <v>491609200</v>
      </c>
      <c r="AI43" s="21"/>
      <c r="AJ43" s="21">
        <f>+'[1]Acuerdo PLAN INVERSIÓN 2021'!$J$2835</f>
        <v>79685908</v>
      </c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>
        <f>+'[1]Acuerdo PLAN INVERSIÓN 2021'!$X$2835</f>
        <v>65836523</v>
      </c>
      <c r="BA43" s="21"/>
      <c r="BB43" s="21"/>
      <c r="BC43" s="21">
        <f>+'[1]Acuerdo PLAN INVERSIÓN 2021'!$AC$2835</f>
        <v>331087169</v>
      </c>
      <c r="BD43" s="21"/>
      <c r="BE43" s="21">
        <f>+'[1]Acuerdo PLAN INVERSIÓN 2021'!$AF$2835</f>
        <v>14999600</v>
      </c>
      <c r="BF43" s="23">
        <f t="shared" si="13"/>
        <v>0.29869973632488012</v>
      </c>
      <c r="BG43" s="21">
        <f t="shared" si="25"/>
        <v>209387542</v>
      </c>
      <c r="BH43" s="21">
        <f t="shared" si="35"/>
        <v>0</v>
      </c>
      <c r="BI43" s="21">
        <f t="shared" si="35"/>
        <v>20314092</v>
      </c>
      <c r="BJ43" s="21">
        <f t="shared" si="35"/>
        <v>0</v>
      </c>
      <c r="BK43" s="21">
        <f t="shared" si="35"/>
        <v>0</v>
      </c>
      <c r="BL43" s="21">
        <f t="shared" si="35"/>
        <v>0</v>
      </c>
      <c r="BM43" s="21">
        <f t="shared" si="35"/>
        <v>0</v>
      </c>
      <c r="BN43" s="21">
        <f t="shared" si="35"/>
        <v>0</v>
      </c>
      <c r="BO43" s="21">
        <f t="shared" si="35"/>
        <v>0</v>
      </c>
      <c r="BP43" s="21">
        <f t="shared" si="35"/>
        <v>0</v>
      </c>
      <c r="BQ43" s="21">
        <f t="shared" si="35"/>
        <v>0</v>
      </c>
      <c r="BR43" s="21">
        <f t="shared" si="35"/>
        <v>0</v>
      </c>
      <c r="BS43" s="21">
        <f t="shared" si="35"/>
        <v>0</v>
      </c>
      <c r="BT43" s="21">
        <f t="shared" si="35"/>
        <v>0</v>
      </c>
      <c r="BU43" s="21">
        <f t="shared" si="35"/>
        <v>0</v>
      </c>
      <c r="BV43" s="21">
        <f t="shared" si="35"/>
        <v>0</v>
      </c>
      <c r="BW43" s="21">
        <f t="shared" si="33"/>
        <v>0</v>
      </c>
      <c r="BX43" s="21">
        <f t="shared" si="27"/>
        <v>0</v>
      </c>
      <c r="BY43" s="21">
        <f t="shared" si="27"/>
        <v>44163477</v>
      </c>
      <c r="BZ43" s="21">
        <f t="shared" si="27"/>
        <v>0</v>
      </c>
      <c r="CA43" s="21">
        <f t="shared" si="27"/>
        <v>0</v>
      </c>
      <c r="CB43" s="21">
        <f t="shared" si="27"/>
        <v>144909573</v>
      </c>
      <c r="CC43" s="21">
        <f t="shared" si="27"/>
        <v>0</v>
      </c>
      <c r="CD43" s="21">
        <f t="shared" si="27"/>
        <v>400</v>
      </c>
      <c r="CE43" s="23">
        <f t="shared" si="6"/>
        <v>0.70130026367511988</v>
      </c>
      <c r="CF43" s="21">
        <f t="shared" si="28"/>
        <v>491609200</v>
      </c>
      <c r="CG43" s="21"/>
      <c r="CH43" s="21">
        <f>+'[1]Acuerdo PLAN INVERSIÓN 2021'!$J$2835</f>
        <v>79685908</v>
      </c>
      <c r="CI43" s="21"/>
      <c r="CJ43" s="21"/>
      <c r="CK43" s="21"/>
      <c r="CL43" s="21"/>
      <c r="CM43" s="21"/>
      <c r="CN43" s="21"/>
      <c r="CO43" s="21"/>
      <c r="CP43" s="21"/>
      <c r="CQ43" s="21"/>
      <c r="CR43" s="21"/>
      <c r="CS43" s="21"/>
      <c r="CT43" s="21"/>
      <c r="CU43" s="21"/>
      <c r="CV43" s="21"/>
      <c r="CW43" s="21"/>
      <c r="CX43" s="21">
        <f>+'[1]Acuerdo PLAN INVERSIÓN 2021'!$X$2835</f>
        <v>65836523</v>
      </c>
      <c r="CY43" s="21"/>
      <c r="CZ43" s="21"/>
      <c r="DA43" s="21">
        <f>+'[1]Acuerdo PLAN INVERSIÓN 2021'!$AC$2835</f>
        <v>331087169</v>
      </c>
      <c r="DB43" s="21"/>
      <c r="DC43" s="21">
        <f>+'[1]Acuerdo PLAN INVERSIÓN 2021'!$AF$2835</f>
        <v>14999600</v>
      </c>
      <c r="DD43" s="23">
        <f t="shared" si="8"/>
        <v>0.29869973632488012</v>
      </c>
      <c r="DE43" s="21">
        <f t="shared" si="29"/>
        <v>209387542</v>
      </c>
      <c r="DF43" s="21">
        <f t="shared" si="36"/>
        <v>0</v>
      </c>
      <c r="DG43" s="21">
        <f t="shared" si="36"/>
        <v>20314092</v>
      </c>
      <c r="DH43" s="21">
        <f t="shared" si="36"/>
        <v>0</v>
      </c>
      <c r="DI43" s="21">
        <f t="shared" si="36"/>
        <v>0</v>
      </c>
      <c r="DJ43" s="21">
        <f t="shared" si="36"/>
        <v>0</v>
      </c>
      <c r="DK43" s="21">
        <f t="shared" si="36"/>
        <v>0</v>
      </c>
      <c r="DL43" s="21">
        <f t="shared" si="36"/>
        <v>0</v>
      </c>
      <c r="DM43" s="21">
        <f t="shared" si="36"/>
        <v>0</v>
      </c>
      <c r="DN43" s="21">
        <f t="shared" si="36"/>
        <v>0</v>
      </c>
      <c r="DO43" s="21">
        <f t="shared" si="36"/>
        <v>0</v>
      </c>
      <c r="DP43" s="21">
        <f t="shared" si="36"/>
        <v>0</v>
      </c>
      <c r="DQ43" s="21">
        <f t="shared" si="36"/>
        <v>0</v>
      </c>
      <c r="DR43" s="21">
        <f t="shared" si="36"/>
        <v>0</v>
      </c>
      <c r="DS43" s="21">
        <f t="shared" si="36"/>
        <v>0</v>
      </c>
      <c r="DT43" s="21">
        <f t="shared" si="36"/>
        <v>0</v>
      </c>
      <c r="DU43" s="21">
        <f t="shared" si="34"/>
        <v>0</v>
      </c>
      <c r="DV43" s="21">
        <f t="shared" si="31"/>
        <v>0</v>
      </c>
      <c r="DW43" s="21">
        <f t="shared" si="31"/>
        <v>44163477</v>
      </c>
      <c r="DX43" s="21">
        <f t="shared" si="31"/>
        <v>0</v>
      </c>
      <c r="DY43" s="21">
        <f t="shared" si="31"/>
        <v>0</v>
      </c>
      <c r="DZ43" s="21">
        <f t="shared" si="31"/>
        <v>144909573</v>
      </c>
      <c r="EA43" s="21">
        <f t="shared" si="31"/>
        <v>0</v>
      </c>
      <c r="EB43" s="21">
        <f t="shared" si="31"/>
        <v>400</v>
      </c>
      <c r="ED43" s="27">
        <f t="shared" si="11"/>
        <v>700996742</v>
      </c>
      <c r="EE43" s="27">
        <f t="shared" si="15"/>
        <v>700996742</v>
      </c>
      <c r="EF43" s="27">
        <f t="shared" si="16"/>
        <v>700996742</v>
      </c>
    </row>
    <row r="44" spans="1:136" ht="20.25" customHeight="1" x14ac:dyDescent="0.3">
      <c r="A44" s="167"/>
      <c r="B44" s="171" t="s">
        <v>154</v>
      </c>
      <c r="C44" s="17" t="s">
        <v>155</v>
      </c>
      <c r="D44" s="29" t="s">
        <v>156</v>
      </c>
      <c r="E44" s="19">
        <v>410</v>
      </c>
      <c r="F44" s="31" t="s">
        <v>105</v>
      </c>
      <c r="G44" s="21">
        <f t="shared" si="23"/>
        <v>30000000</v>
      </c>
      <c r="H44" s="22">
        <v>56000000</v>
      </c>
      <c r="I44" s="22">
        <f t="shared" si="32"/>
        <v>26000000</v>
      </c>
      <c r="J44" s="21"/>
      <c r="K44" s="21">
        <v>30000000</v>
      </c>
      <c r="L44" s="21"/>
      <c r="M44" s="21"/>
      <c r="N44" s="21"/>
      <c r="O44" s="21"/>
      <c r="P44" s="21"/>
      <c r="Q44" s="21">
        <f>25000000-25000000</f>
        <v>0</v>
      </c>
      <c r="R44" s="21"/>
      <c r="S44" s="21"/>
      <c r="T44" s="21"/>
      <c r="U44" s="21">
        <f>20000000-20000000</f>
        <v>0</v>
      </c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3">
        <f t="shared" si="1"/>
        <v>0.96874470000000001</v>
      </c>
      <c r="AH44" s="21">
        <f t="shared" si="24"/>
        <v>29062341</v>
      </c>
      <c r="AI44" s="21"/>
      <c r="AJ44" s="21">
        <f>+'[1]Acuerdo PLAN INVERSIÓN 2021'!$J$3069</f>
        <v>29062341</v>
      </c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1"/>
      <c r="BA44" s="21"/>
      <c r="BB44" s="21"/>
      <c r="BC44" s="21"/>
      <c r="BD44" s="21"/>
      <c r="BE44" s="21"/>
      <c r="BF44" s="23">
        <f t="shared" si="13"/>
        <v>3.1255299999999986E-2</v>
      </c>
      <c r="BG44" s="21">
        <f t="shared" si="25"/>
        <v>937659</v>
      </c>
      <c r="BH44" s="21">
        <f t="shared" si="35"/>
        <v>0</v>
      </c>
      <c r="BI44" s="21">
        <f t="shared" si="35"/>
        <v>937659</v>
      </c>
      <c r="BJ44" s="21">
        <f t="shared" si="35"/>
        <v>0</v>
      </c>
      <c r="BK44" s="21">
        <f t="shared" si="35"/>
        <v>0</v>
      </c>
      <c r="BL44" s="21">
        <f t="shared" si="35"/>
        <v>0</v>
      </c>
      <c r="BM44" s="21">
        <f t="shared" si="35"/>
        <v>0</v>
      </c>
      <c r="BN44" s="21">
        <f t="shared" si="35"/>
        <v>0</v>
      </c>
      <c r="BO44" s="21">
        <f t="shared" si="35"/>
        <v>0</v>
      </c>
      <c r="BP44" s="21">
        <f t="shared" si="35"/>
        <v>0</v>
      </c>
      <c r="BQ44" s="21">
        <f t="shared" si="35"/>
        <v>0</v>
      </c>
      <c r="BR44" s="21">
        <f t="shared" si="35"/>
        <v>0</v>
      </c>
      <c r="BS44" s="21">
        <f t="shared" si="35"/>
        <v>0</v>
      </c>
      <c r="BT44" s="21">
        <f t="shared" si="35"/>
        <v>0</v>
      </c>
      <c r="BU44" s="21">
        <f t="shared" si="35"/>
        <v>0</v>
      </c>
      <c r="BV44" s="21">
        <f t="shared" si="35"/>
        <v>0</v>
      </c>
      <c r="BW44" s="21">
        <f t="shared" si="33"/>
        <v>0</v>
      </c>
      <c r="BX44" s="21">
        <f t="shared" si="27"/>
        <v>0</v>
      </c>
      <c r="BY44" s="21">
        <f t="shared" si="27"/>
        <v>0</v>
      </c>
      <c r="BZ44" s="21">
        <f t="shared" si="27"/>
        <v>0</v>
      </c>
      <c r="CA44" s="21">
        <f t="shared" si="27"/>
        <v>0</v>
      </c>
      <c r="CB44" s="21">
        <f t="shared" si="27"/>
        <v>0</v>
      </c>
      <c r="CC44" s="21">
        <f t="shared" si="27"/>
        <v>0</v>
      </c>
      <c r="CD44" s="21">
        <f t="shared" si="27"/>
        <v>0</v>
      </c>
      <c r="CE44" s="23">
        <f t="shared" si="6"/>
        <v>0.96874470000000001</v>
      </c>
      <c r="CF44" s="21">
        <f t="shared" si="28"/>
        <v>29062341</v>
      </c>
      <c r="CG44" s="21"/>
      <c r="CH44" s="21">
        <f>+'[8]Acuerdo PLAN INVERSIÓN 2021'!$H$2367+'[5]Acuerdo PLAN INVERSIÓN 2021'!$H$2898</f>
        <v>29062341</v>
      </c>
      <c r="CI44" s="21"/>
      <c r="CJ44" s="21"/>
      <c r="CK44" s="21"/>
      <c r="CL44" s="21"/>
      <c r="CM44" s="21"/>
      <c r="CN44" s="21"/>
      <c r="CO44" s="21"/>
      <c r="CP44" s="21"/>
      <c r="CQ44" s="21"/>
      <c r="CR44" s="21"/>
      <c r="CS44" s="21"/>
      <c r="CT44" s="21"/>
      <c r="CU44" s="21"/>
      <c r="CV44" s="21"/>
      <c r="CW44" s="21"/>
      <c r="CX44" s="21"/>
      <c r="CY44" s="21"/>
      <c r="CZ44" s="21"/>
      <c r="DA44" s="21"/>
      <c r="DB44" s="21"/>
      <c r="DC44" s="21"/>
      <c r="DD44" s="23">
        <f t="shared" si="8"/>
        <v>3.1255299999999986E-2</v>
      </c>
      <c r="DE44" s="21">
        <f t="shared" si="29"/>
        <v>937659</v>
      </c>
      <c r="DF44" s="21">
        <f t="shared" si="36"/>
        <v>0</v>
      </c>
      <c r="DG44" s="21">
        <f t="shared" si="36"/>
        <v>937659</v>
      </c>
      <c r="DH44" s="21">
        <f t="shared" si="36"/>
        <v>0</v>
      </c>
      <c r="DI44" s="21">
        <f t="shared" si="36"/>
        <v>0</v>
      </c>
      <c r="DJ44" s="21">
        <f t="shared" si="36"/>
        <v>0</v>
      </c>
      <c r="DK44" s="21">
        <f t="shared" si="36"/>
        <v>0</v>
      </c>
      <c r="DL44" s="21">
        <f t="shared" si="36"/>
        <v>0</v>
      </c>
      <c r="DM44" s="21">
        <f t="shared" si="36"/>
        <v>0</v>
      </c>
      <c r="DN44" s="21">
        <f t="shared" si="36"/>
        <v>0</v>
      </c>
      <c r="DO44" s="21">
        <f t="shared" si="36"/>
        <v>0</v>
      </c>
      <c r="DP44" s="21">
        <f t="shared" si="36"/>
        <v>0</v>
      </c>
      <c r="DQ44" s="21">
        <f t="shared" si="36"/>
        <v>0</v>
      </c>
      <c r="DR44" s="21">
        <f t="shared" si="36"/>
        <v>0</v>
      </c>
      <c r="DS44" s="21">
        <f t="shared" si="36"/>
        <v>0</v>
      </c>
      <c r="DT44" s="21">
        <f t="shared" si="36"/>
        <v>0</v>
      </c>
      <c r="DU44" s="21">
        <f t="shared" si="34"/>
        <v>0</v>
      </c>
      <c r="DV44" s="21">
        <f t="shared" si="31"/>
        <v>0</v>
      </c>
      <c r="DW44" s="21">
        <f t="shared" si="31"/>
        <v>0</v>
      </c>
      <c r="DX44" s="21">
        <f t="shared" si="31"/>
        <v>0</v>
      </c>
      <c r="DY44" s="21">
        <f t="shared" si="31"/>
        <v>0</v>
      </c>
      <c r="DZ44" s="21">
        <f t="shared" si="31"/>
        <v>0</v>
      </c>
      <c r="EA44" s="21">
        <f t="shared" si="31"/>
        <v>0</v>
      </c>
      <c r="EB44" s="21">
        <f t="shared" si="31"/>
        <v>0</v>
      </c>
      <c r="ED44" s="27">
        <f t="shared" si="11"/>
        <v>30000000</v>
      </c>
      <c r="EE44" s="27">
        <f t="shared" si="15"/>
        <v>30000000</v>
      </c>
      <c r="EF44" s="27">
        <f t="shared" si="16"/>
        <v>30000000</v>
      </c>
    </row>
    <row r="45" spans="1:136" ht="21.75" customHeight="1" x14ac:dyDescent="0.3">
      <c r="A45" s="167"/>
      <c r="B45" s="173"/>
      <c r="C45" s="17" t="s">
        <v>157</v>
      </c>
      <c r="D45" s="29" t="s">
        <v>158</v>
      </c>
      <c r="E45" s="19">
        <v>410</v>
      </c>
      <c r="F45" s="31" t="s">
        <v>105</v>
      </c>
      <c r="G45" s="21">
        <f t="shared" si="23"/>
        <v>30000000</v>
      </c>
      <c r="H45" s="22">
        <v>50000000</v>
      </c>
      <c r="I45" s="22">
        <f t="shared" si="32"/>
        <v>20000000</v>
      </c>
      <c r="J45" s="21"/>
      <c r="K45" s="21">
        <f>20000000-20000000</f>
        <v>0</v>
      </c>
      <c r="L45" s="21"/>
      <c r="M45" s="21"/>
      <c r="N45" s="21"/>
      <c r="O45" s="21"/>
      <c r="P45" s="21"/>
      <c r="Q45" s="21">
        <v>30000000</v>
      </c>
      <c r="R45" s="21"/>
      <c r="S45" s="21"/>
      <c r="T45" s="21"/>
      <c r="U45" s="21">
        <f>38135548-38135548</f>
        <v>0</v>
      </c>
      <c r="V45" s="21"/>
      <c r="W45" s="21"/>
      <c r="X45" s="21"/>
      <c r="Y45" s="21"/>
      <c r="Z45" s="21"/>
      <c r="AA45" s="21"/>
      <c r="AB45" s="47"/>
      <c r="AC45" s="21"/>
      <c r="AD45" s="21"/>
      <c r="AE45" s="21"/>
      <c r="AF45" s="21"/>
      <c r="AG45" s="23">
        <f t="shared" si="1"/>
        <v>0.10143566666666666</v>
      </c>
      <c r="AH45" s="21">
        <f t="shared" si="24"/>
        <v>3043070</v>
      </c>
      <c r="AI45" s="21"/>
      <c r="AJ45" s="21"/>
      <c r="AK45" s="21"/>
      <c r="AL45" s="21"/>
      <c r="AM45" s="21"/>
      <c r="AN45" s="21"/>
      <c r="AO45" s="21"/>
      <c r="AP45" s="21">
        <f>+'[1]Acuerdo PLAN INVERSIÓN 2021'!$S$3090</f>
        <v>3043070</v>
      </c>
      <c r="AQ45" s="21"/>
      <c r="AR45" s="21"/>
      <c r="AS45" s="21"/>
      <c r="AT45" s="21"/>
      <c r="AU45" s="21"/>
      <c r="AV45" s="21"/>
      <c r="AW45" s="21"/>
      <c r="AX45" s="21"/>
      <c r="AY45" s="21"/>
      <c r="AZ45" s="21"/>
      <c r="BA45" s="21"/>
      <c r="BB45" s="21"/>
      <c r="BC45" s="21"/>
      <c r="BD45" s="21"/>
      <c r="BE45" s="21"/>
      <c r="BF45" s="23">
        <f t="shared" si="13"/>
        <v>0.8985643333333333</v>
      </c>
      <c r="BG45" s="21">
        <f t="shared" si="25"/>
        <v>26956930</v>
      </c>
      <c r="BH45" s="21">
        <f t="shared" si="35"/>
        <v>0</v>
      </c>
      <c r="BI45" s="21">
        <f t="shared" si="35"/>
        <v>0</v>
      </c>
      <c r="BJ45" s="21">
        <f t="shared" si="35"/>
        <v>0</v>
      </c>
      <c r="BK45" s="21">
        <f t="shared" si="35"/>
        <v>0</v>
      </c>
      <c r="BL45" s="21">
        <f t="shared" si="35"/>
        <v>0</v>
      </c>
      <c r="BM45" s="21">
        <f t="shared" si="35"/>
        <v>0</v>
      </c>
      <c r="BN45" s="21">
        <f t="shared" si="35"/>
        <v>0</v>
      </c>
      <c r="BO45" s="21">
        <f t="shared" si="35"/>
        <v>26956930</v>
      </c>
      <c r="BP45" s="21">
        <f t="shared" si="35"/>
        <v>0</v>
      </c>
      <c r="BQ45" s="21">
        <f t="shared" si="35"/>
        <v>0</v>
      </c>
      <c r="BR45" s="21">
        <f t="shared" si="35"/>
        <v>0</v>
      </c>
      <c r="BS45" s="21">
        <f t="shared" si="35"/>
        <v>0</v>
      </c>
      <c r="BT45" s="21">
        <f t="shared" si="35"/>
        <v>0</v>
      </c>
      <c r="BU45" s="21">
        <f t="shared" si="35"/>
        <v>0</v>
      </c>
      <c r="BV45" s="21">
        <f t="shared" si="35"/>
        <v>0</v>
      </c>
      <c r="BW45" s="21">
        <f t="shared" si="33"/>
        <v>0</v>
      </c>
      <c r="BX45" s="21">
        <f t="shared" si="27"/>
        <v>0</v>
      </c>
      <c r="BY45" s="21">
        <f t="shared" si="27"/>
        <v>0</v>
      </c>
      <c r="BZ45" s="21">
        <f t="shared" si="27"/>
        <v>0</v>
      </c>
      <c r="CA45" s="21">
        <f t="shared" si="27"/>
        <v>0</v>
      </c>
      <c r="CB45" s="21">
        <f t="shared" si="27"/>
        <v>0</v>
      </c>
      <c r="CC45" s="21">
        <f t="shared" si="27"/>
        <v>0</v>
      </c>
      <c r="CD45" s="21">
        <f t="shared" si="27"/>
        <v>0</v>
      </c>
      <c r="CE45" s="23">
        <f t="shared" si="6"/>
        <v>0.10143566666666666</v>
      </c>
      <c r="CF45" s="21">
        <f t="shared" si="28"/>
        <v>3043070</v>
      </c>
      <c r="CG45" s="21"/>
      <c r="CH45" s="21"/>
      <c r="CI45" s="21"/>
      <c r="CJ45" s="21"/>
      <c r="CK45" s="21"/>
      <c r="CL45" s="21"/>
      <c r="CM45" s="21"/>
      <c r="CN45" s="21">
        <f>+'[1]Acuerdo PLAN INVERSIÓN 2021'!$S$3090</f>
        <v>3043070</v>
      </c>
      <c r="CO45" s="21"/>
      <c r="CP45" s="21"/>
      <c r="CQ45" s="21"/>
      <c r="CR45" s="21"/>
      <c r="CS45" s="21"/>
      <c r="CT45" s="21"/>
      <c r="CU45" s="21"/>
      <c r="CV45" s="21"/>
      <c r="CW45" s="21"/>
      <c r="CX45" s="21"/>
      <c r="CY45" s="21"/>
      <c r="CZ45" s="21"/>
      <c r="DA45" s="21"/>
      <c r="DB45" s="21"/>
      <c r="DC45" s="21"/>
      <c r="DD45" s="23">
        <f t="shared" si="8"/>
        <v>0.8985643333333333</v>
      </c>
      <c r="DE45" s="21">
        <f t="shared" si="29"/>
        <v>26956930</v>
      </c>
      <c r="DF45" s="21">
        <f t="shared" si="36"/>
        <v>0</v>
      </c>
      <c r="DG45" s="21">
        <f t="shared" si="36"/>
        <v>0</v>
      </c>
      <c r="DH45" s="21">
        <f t="shared" si="36"/>
        <v>0</v>
      </c>
      <c r="DI45" s="21">
        <f t="shared" si="36"/>
        <v>0</v>
      </c>
      <c r="DJ45" s="21">
        <f t="shared" si="36"/>
        <v>0</v>
      </c>
      <c r="DK45" s="21">
        <f t="shared" si="36"/>
        <v>0</v>
      </c>
      <c r="DL45" s="21">
        <f t="shared" si="36"/>
        <v>0</v>
      </c>
      <c r="DM45" s="21">
        <f t="shared" si="36"/>
        <v>26956930</v>
      </c>
      <c r="DN45" s="21">
        <f t="shared" si="36"/>
        <v>0</v>
      </c>
      <c r="DO45" s="21">
        <f t="shared" si="36"/>
        <v>0</v>
      </c>
      <c r="DP45" s="21">
        <f t="shared" si="36"/>
        <v>0</v>
      </c>
      <c r="DQ45" s="21">
        <f t="shared" si="36"/>
        <v>0</v>
      </c>
      <c r="DR45" s="21">
        <f t="shared" si="36"/>
        <v>0</v>
      </c>
      <c r="DS45" s="21">
        <f t="shared" si="36"/>
        <v>0</v>
      </c>
      <c r="DT45" s="21">
        <f t="shared" si="36"/>
        <v>0</v>
      </c>
      <c r="DU45" s="21">
        <f t="shared" si="34"/>
        <v>0</v>
      </c>
      <c r="DV45" s="21">
        <f t="shared" si="31"/>
        <v>0</v>
      </c>
      <c r="DW45" s="21">
        <f t="shared" si="31"/>
        <v>0</v>
      </c>
      <c r="DX45" s="21">
        <f t="shared" si="31"/>
        <v>0</v>
      </c>
      <c r="DY45" s="21">
        <f t="shared" si="31"/>
        <v>0</v>
      </c>
      <c r="DZ45" s="21">
        <f t="shared" si="31"/>
        <v>0</v>
      </c>
      <c r="EA45" s="21">
        <f t="shared" si="31"/>
        <v>0</v>
      </c>
      <c r="EB45" s="21">
        <f t="shared" si="31"/>
        <v>0</v>
      </c>
      <c r="ED45" s="27">
        <f t="shared" si="11"/>
        <v>30000000</v>
      </c>
      <c r="EE45" s="27">
        <f t="shared" si="15"/>
        <v>30000000</v>
      </c>
      <c r="EF45" s="27">
        <f t="shared" si="16"/>
        <v>30000000</v>
      </c>
    </row>
    <row r="46" spans="1:136" ht="46.95" customHeight="1" x14ac:dyDescent="0.3">
      <c r="A46" s="167"/>
      <c r="B46" s="32" t="s">
        <v>159</v>
      </c>
      <c r="C46" s="17" t="s">
        <v>160</v>
      </c>
      <c r="D46" s="18" t="s">
        <v>161</v>
      </c>
      <c r="E46" s="19">
        <v>410</v>
      </c>
      <c r="F46" s="31" t="s">
        <v>105</v>
      </c>
      <c r="G46" s="21">
        <f t="shared" si="23"/>
        <v>2983654075</v>
      </c>
      <c r="H46" s="22">
        <v>2200000000</v>
      </c>
      <c r="I46" s="22">
        <f t="shared" si="32"/>
        <v>-783654075</v>
      </c>
      <c r="J46" s="21"/>
      <c r="K46" s="21">
        <v>7989917</v>
      </c>
      <c r="L46" s="21"/>
      <c r="M46" s="21"/>
      <c r="N46" s="21"/>
      <c r="O46" s="21"/>
      <c r="P46" s="21"/>
      <c r="Q46" s="21">
        <v>25000000</v>
      </c>
      <c r="R46" s="21"/>
      <c r="S46" s="21"/>
      <c r="T46" s="21"/>
      <c r="U46" s="21"/>
      <c r="V46" s="21"/>
      <c r="W46" s="21"/>
      <c r="X46" s="21"/>
      <c r="Y46" s="21">
        <f>3500000000+684779075-1250000000-74625000</f>
        <v>2860154075</v>
      </c>
      <c r="Z46" s="21"/>
      <c r="AA46" s="21">
        <v>73500000</v>
      </c>
      <c r="AB46" s="21">
        <v>17010083</v>
      </c>
      <c r="AC46" s="21"/>
      <c r="AD46" s="21"/>
      <c r="AE46" s="21"/>
      <c r="AF46" s="21"/>
      <c r="AG46" s="23">
        <f t="shared" si="1"/>
        <v>0.72132346072994402</v>
      </c>
      <c r="AH46" s="21">
        <f t="shared" si="24"/>
        <v>2152179683</v>
      </c>
      <c r="AI46" s="21"/>
      <c r="AJ46" s="21">
        <f>+'[1]Acuerdo PLAN INVERSIÓN 2021'!$J$3104</f>
        <v>2040807</v>
      </c>
      <c r="AK46" s="21"/>
      <c r="AL46" s="21"/>
      <c r="AM46" s="21"/>
      <c r="AN46" s="21"/>
      <c r="AO46" s="21"/>
      <c r="AP46" s="21">
        <f>+'[1]Acuerdo PLAN INVERSIÓN 2021'!$S$3104</f>
        <v>17381366</v>
      </c>
      <c r="AQ46" s="21"/>
      <c r="AR46" s="21"/>
      <c r="AS46" s="21"/>
      <c r="AT46" s="21"/>
      <c r="AU46" s="21"/>
      <c r="AV46" s="21"/>
      <c r="AW46" s="21"/>
      <c r="AX46" s="21">
        <f>+'[1]Acuerdo PLAN INVERSIÓN 2021'!$W$3104</f>
        <v>2066607734</v>
      </c>
      <c r="AY46" s="21"/>
      <c r="AZ46" s="21">
        <f>+'[1]Acuerdo PLAN INVERSIÓN 2021'!$X$3104</f>
        <v>50843110</v>
      </c>
      <c r="BA46" s="21">
        <f>+'[1]Acuerdo PLAN INVERSIÓN 2021'!$Y$3104</f>
        <v>15306666</v>
      </c>
      <c r="BB46" s="21"/>
      <c r="BC46" s="21"/>
      <c r="BD46" s="21"/>
      <c r="BE46" s="21"/>
      <c r="BF46" s="23">
        <f t="shared" si="13"/>
        <v>0.27867653927005598</v>
      </c>
      <c r="BG46" s="21">
        <f t="shared" si="25"/>
        <v>831474392</v>
      </c>
      <c r="BH46" s="21">
        <f t="shared" si="35"/>
        <v>0</v>
      </c>
      <c r="BI46" s="21">
        <f t="shared" si="35"/>
        <v>5949110</v>
      </c>
      <c r="BJ46" s="21">
        <f t="shared" si="35"/>
        <v>0</v>
      </c>
      <c r="BK46" s="21">
        <f t="shared" si="35"/>
        <v>0</v>
      </c>
      <c r="BL46" s="21">
        <f t="shared" si="35"/>
        <v>0</v>
      </c>
      <c r="BM46" s="21">
        <f t="shared" si="35"/>
        <v>0</v>
      </c>
      <c r="BN46" s="21">
        <f t="shared" si="35"/>
        <v>0</v>
      </c>
      <c r="BO46" s="21">
        <f t="shared" si="35"/>
        <v>7618634</v>
      </c>
      <c r="BP46" s="21">
        <f t="shared" si="35"/>
        <v>0</v>
      </c>
      <c r="BQ46" s="21">
        <f t="shared" si="35"/>
        <v>0</v>
      </c>
      <c r="BR46" s="21">
        <f t="shared" si="35"/>
        <v>0</v>
      </c>
      <c r="BS46" s="21">
        <f t="shared" si="35"/>
        <v>0</v>
      </c>
      <c r="BT46" s="21">
        <f t="shared" si="35"/>
        <v>0</v>
      </c>
      <c r="BU46" s="21">
        <f t="shared" si="35"/>
        <v>0</v>
      </c>
      <c r="BV46" s="21">
        <f t="shared" si="35"/>
        <v>0</v>
      </c>
      <c r="BW46" s="21">
        <f t="shared" si="33"/>
        <v>793546341</v>
      </c>
      <c r="BX46" s="21">
        <f t="shared" si="27"/>
        <v>0</v>
      </c>
      <c r="BY46" s="21">
        <f t="shared" si="27"/>
        <v>22656890</v>
      </c>
      <c r="BZ46" s="21">
        <f t="shared" si="27"/>
        <v>1703417</v>
      </c>
      <c r="CA46" s="21">
        <f t="shared" si="27"/>
        <v>0</v>
      </c>
      <c r="CB46" s="21">
        <f t="shared" si="27"/>
        <v>0</v>
      </c>
      <c r="CC46" s="21">
        <f t="shared" si="27"/>
        <v>0</v>
      </c>
      <c r="CD46" s="21">
        <f t="shared" si="27"/>
        <v>0</v>
      </c>
      <c r="CE46" s="23">
        <f t="shared" si="6"/>
        <v>0.72132346072994402</v>
      </c>
      <c r="CF46" s="21">
        <f t="shared" si="28"/>
        <v>2152179683</v>
      </c>
      <c r="CG46" s="21"/>
      <c r="CH46" s="21">
        <f>+'[1]Acuerdo PLAN INVERSIÓN 2021'!$J$3104</f>
        <v>2040807</v>
      </c>
      <c r="CI46" s="21"/>
      <c r="CJ46" s="21"/>
      <c r="CK46" s="21"/>
      <c r="CL46" s="21"/>
      <c r="CM46" s="21"/>
      <c r="CN46" s="21">
        <f>+'[1]Acuerdo PLAN INVERSIÓN 2021'!$S$3104</f>
        <v>17381366</v>
      </c>
      <c r="CO46" s="21"/>
      <c r="CP46" s="21"/>
      <c r="CQ46" s="21"/>
      <c r="CR46" s="21"/>
      <c r="CS46" s="21"/>
      <c r="CT46" s="21"/>
      <c r="CU46" s="21"/>
      <c r="CV46" s="21">
        <f>+'[1]Acuerdo PLAN INVERSIÓN 2021'!$W$3104</f>
        <v>2066607734</v>
      </c>
      <c r="CW46" s="21"/>
      <c r="CX46" s="21">
        <f>+'[1]Acuerdo PLAN INVERSIÓN 2021'!$X$3104</f>
        <v>50843110</v>
      </c>
      <c r="CY46" s="21">
        <f>+'[1]Acuerdo PLAN INVERSIÓN 2021'!$Y$3104</f>
        <v>15306666</v>
      </c>
      <c r="CZ46" s="21"/>
      <c r="DA46" s="21"/>
      <c r="DB46" s="21"/>
      <c r="DC46" s="21"/>
      <c r="DD46" s="23">
        <f t="shared" si="8"/>
        <v>0.27867653927005598</v>
      </c>
      <c r="DE46" s="21">
        <f t="shared" si="29"/>
        <v>831474392</v>
      </c>
      <c r="DF46" s="21">
        <f t="shared" si="36"/>
        <v>0</v>
      </c>
      <c r="DG46" s="21">
        <f t="shared" si="36"/>
        <v>5949110</v>
      </c>
      <c r="DH46" s="21">
        <f t="shared" si="36"/>
        <v>0</v>
      </c>
      <c r="DI46" s="21">
        <f t="shared" si="36"/>
        <v>0</v>
      </c>
      <c r="DJ46" s="21">
        <f t="shared" si="36"/>
        <v>0</v>
      </c>
      <c r="DK46" s="21">
        <f t="shared" si="36"/>
        <v>0</v>
      </c>
      <c r="DL46" s="21">
        <f t="shared" si="36"/>
        <v>0</v>
      </c>
      <c r="DM46" s="21">
        <f t="shared" si="36"/>
        <v>7618634</v>
      </c>
      <c r="DN46" s="21">
        <f t="shared" si="36"/>
        <v>0</v>
      </c>
      <c r="DO46" s="21">
        <f t="shared" si="36"/>
        <v>0</v>
      </c>
      <c r="DP46" s="21">
        <f t="shared" si="36"/>
        <v>0</v>
      </c>
      <c r="DQ46" s="21">
        <f t="shared" si="36"/>
        <v>0</v>
      </c>
      <c r="DR46" s="21">
        <f t="shared" si="36"/>
        <v>0</v>
      </c>
      <c r="DS46" s="21">
        <f t="shared" si="36"/>
        <v>0</v>
      </c>
      <c r="DT46" s="21">
        <f t="shared" si="36"/>
        <v>0</v>
      </c>
      <c r="DU46" s="21">
        <f t="shared" si="34"/>
        <v>793546341</v>
      </c>
      <c r="DV46" s="21">
        <f t="shared" si="31"/>
        <v>0</v>
      </c>
      <c r="DW46" s="21">
        <f t="shared" si="31"/>
        <v>22656890</v>
      </c>
      <c r="DX46" s="21">
        <f t="shared" si="31"/>
        <v>1703417</v>
      </c>
      <c r="DY46" s="21">
        <f t="shared" si="31"/>
        <v>0</v>
      </c>
      <c r="DZ46" s="21">
        <f t="shared" si="31"/>
        <v>0</v>
      </c>
      <c r="EA46" s="21">
        <f t="shared" si="31"/>
        <v>0</v>
      </c>
      <c r="EB46" s="21">
        <f t="shared" si="31"/>
        <v>0</v>
      </c>
      <c r="ED46" s="27">
        <f t="shared" si="11"/>
        <v>2983654075</v>
      </c>
      <c r="EE46" s="27">
        <f t="shared" si="15"/>
        <v>2983654075</v>
      </c>
      <c r="EF46" s="27">
        <f t="shared" si="16"/>
        <v>2983654075</v>
      </c>
    </row>
    <row r="47" spans="1:136" ht="26.25" customHeight="1" x14ac:dyDescent="0.3">
      <c r="A47" s="48"/>
      <c r="B47" s="171" t="s">
        <v>162</v>
      </c>
      <c r="C47" s="17" t="s">
        <v>163</v>
      </c>
      <c r="D47" s="29" t="s">
        <v>164</v>
      </c>
      <c r="E47" s="19">
        <v>410</v>
      </c>
      <c r="F47" s="31" t="s">
        <v>165</v>
      </c>
      <c r="G47" s="21">
        <f t="shared" si="23"/>
        <v>139000000</v>
      </c>
      <c r="H47" s="22">
        <v>198000000</v>
      </c>
      <c r="I47" s="22">
        <f t="shared" si="32"/>
        <v>59000000</v>
      </c>
      <c r="J47" s="21"/>
      <c r="K47" s="21">
        <v>90000000</v>
      </c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>
        <v>20000000</v>
      </c>
      <c r="AB47" s="21"/>
      <c r="AC47" s="21"/>
      <c r="AD47" s="21"/>
      <c r="AE47" s="21"/>
      <c r="AF47" s="21">
        <f>5000000+24000000</f>
        <v>29000000</v>
      </c>
      <c r="AG47" s="23">
        <f t="shared" si="1"/>
        <v>0.93703764028776981</v>
      </c>
      <c r="AH47" s="21">
        <f t="shared" si="24"/>
        <v>130248232</v>
      </c>
      <c r="AI47" s="21"/>
      <c r="AJ47" s="21">
        <f>+'[1]Acuerdo PLAN INVERSIÓN 2021'!$J$3962</f>
        <v>89754339</v>
      </c>
      <c r="AK47" s="21"/>
      <c r="AL47" s="21"/>
      <c r="AM47" s="21"/>
      <c r="AN47" s="21"/>
      <c r="AO47" s="21"/>
      <c r="AP47" s="21"/>
      <c r="AQ47" s="21"/>
      <c r="AR47" s="21"/>
      <c r="AS47" s="21"/>
      <c r="AT47" s="21"/>
      <c r="AU47" s="21"/>
      <c r="AV47" s="21"/>
      <c r="AW47" s="21"/>
      <c r="AX47" s="21"/>
      <c r="AY47" s="21"/>
      <c r="AZ47" s="21">
        <f>+'[1]Acuerdo PLAN INVERSIÓN 2021'!$X$3962</f>
        <v>13018560</v>
      </c>
      <c r="BA47" s="21"/>
      <c r="BB47" s="21"/>
      <c r="BC47" s="21"/>
      <c r="BD47" s="21"/>
      <c r="BE47" s="21">
        <f>+'[1]Acuerdo PLAN INVERSIÓN 2021'!$AF$3962</f>
        <v>27475333</v>
      </c>
      <c r="BF47" s="23">
        <f t="shared" si="13"/>
        <v>6.2962359712230187E-2</v>
      </c>
      <c r="BG47" s="21">
        <f t="shared" si="25"/>
        <v>8751768</v>
      </c>
      <c r="BH47" s="21">
        <f t="shared" si="35"/>
        <v>0</v>
      </c>
      <c r="BI47" s="21">
        <f t="shared" si="35"/>
        <v>245661</v>
      </c>
      <c r="BJ47" s="21">
        <f t="shared" si="35"/>
        <v>0</v>
      </c>
      <c r="BK47" s="21">
        <f t="shared" si="35"/>
        <v>0</v>
      </c>
      <c r="BL47" s="21">
        <f t="shared" si="35"/>
        <v>0</v>
      </c>
      <c r="BM47" s="21">
        <f t="shared" si="35"/>
        <v>0</v>
      </c>
      <c r="BN47" s="21">
        <f t="shared" si="35"/>
        <v>0</v>
      </c>
      <c r="BO47" s="21">
        <f t="shared" si="35"/>
        <v>0</v>
      </c>
      <c r="BP47" s="21">
        <f t="shared" si="35"/>
        <v>0</v>
      </c>
      <c r="BQ47" s="21">
        <f t="shared" si="35"/>
        <v>0</v>
      </c>
      <c r="BR47" s="21">
        <f t="shared" si="35"/>
        <v>0</v>
      </c>
      <c r="BS47" s="21">
        <f t="shared" si="35"/>
        <v>0</v>
      </c>
      <c r="BT47" s="21">
        <f t="shared" si="35"/>
        <v>0</v>
      </c>
      <c r="BU47" s="21">
        <f t="shared" si="35"/>
        <v>0</v>
      </c>
      <c r="BV47" s="21">
        <f t="shared" si="35"/>
        <v>0</v>
      </c>
      <c r="BW47" s="21">
        <f t="shared" si="33"/>
        <v>0</v>
      </c>
      <c r="BX47" s="21">
        <f t="shared" si="27"/>
        <v>0</v>
      </c>
      <c r="BY47" s="21">
        <f t="shared" si="27"/>
        <v>6981440</v>
      </c>
      <c r="BZ47" s="21">
        <f t="shared" si="27"/>
        <v>0</v>
      </c>
      <c r="CA47" s="21">
        <f t="shared" si="27"/>
        <v>0</v>
      </c>
      <c r="CB47" s="21">
        <f t="shared" si="27"/>
        <v>0</v>
      </c>
      <c r="CC47" s="21">
        <f t="shared" si="27"/>
        <v>0</v>
      </c>
      <c r="CD47" s="21">
        <f t="shared" si="27"/>
        <v>1524667</v>
      </c>
      <c r="CE47" s="23">
        <f t="shared" si="6"/>
        <v>0.93703764028776981</v>
      </c>
      <c r="CF47" s="21">
        <f t="shared" si="28"/>
        <v>130248232</v>
      </c>
      <c r="CG47" s="21"/>
      <c r="CH47" s="21">
        <f>+'[1]Acuerdo PLAN INVERSIÓN 2021'!$J$3962</f>
        <v>89754339</v>
      </c>
      <c r="CI47" s="21"/>
      <c r="CJ47" s="21"/>
      <c r="CK47" s="21"/>
      <c r="CL47" s="21"/>
      <c r="CM47" s="21"/>
      <c r="CN47" s="21"/>
      <c r="CO47" s="21"/>
      <c r="CP47" s="21"/>
      <c r="CQ47" s="21"/>
      <c r="CR47" s="21"/>
      <c r="CS47" s="21"/>
      <c r="CT47" s="21"/>
      <c r="CU47" s="21"/>
      <c r="CV47" s="21"/>
      <c r="CW47" s="21"/>
      <c r="CX47" s="21">
        <f>+'[1]Acuerdo PLAN INVERSIÓN 2021'!$X$3962</f>
        <v>13018560</v>
      </c>
      <c r="CY47" s="21"/>
      <c r="CZ47" s="21"/>
      <c r="DA47" s="21"/>
      <c r="DB47" s="21"/>
      <c r="DC47" s="21">
        <f>+'[1]Acuerdo PLAN INVERSIÓN 2021'!$AF$3962</f>
        <v>27475333</v>
      </c>
      <c r="DD47" s="23">
        <f t="shared" si="8"/>
        <v>6.2962359712230187E-2</v>
      </c>
      <c r="DE47" s="21">
        <f t="shared" si="29"/>
        <v>8751768</v>
      </c>
      <c r="DF47" s="21">
        <f t="shared" si="36"/>
        <v>0</v>
      </c>
      <c r="DG47" s="21">
        <f t="shared" si="36"/>
        <v>245661</v>
      </c>
      <c r="DH47" s="21">
        <f t="shared" si="36"/>
        <v>0</v>
      </c>
      <c r="DI47" s="21">
        <f t="shared" si="36"/>
        <v>0</v>
      </c>
      <c r="DJ47" s="21">
        <f t="shared" si="36"/>
        <v>0</v>
      </c>
      <c r="DK47" s="21">
        <f t="shared" si="36"/>
        <v>0</v>
      </c>
      <c r="DL47" s="21">
        <f t="shared" si="36"/>
        <v>0</v>
      </c>
      <c r="DM47" s="21">
        <f t="shared" si="36"/>
        <v>0</v>
      </c>
      <c r="DN47" s="21">
        <f t="shared" si="36"/>
        <v>0</v>
      </c>
      <c r="DO47" s="21">
        <f t="shared" si="36"/>
        <v>0</v>
      </c>
      <c r="DP47" s="21">
        <f t="shared" si="36"/>
        <v>0</v>
      </c>
      <c r="DQ47" s="21">
        <f t="shared" si="36"/>
        <v>0</v>
      </c>
      <c r="DR47" s="21">
        <f t="shared" si="36"/>
        <v>0</v>
      </c>
      <c r="DS47" s="21">
        <f t="shared" si="36"/>
        <v>0</v>
      </c>
      <c r="DT47" s="21">
        <f t="shared" si="36"/>
        <v>0</v>
      </c>
      <c r="DU47" s="21">
        <f t="shared" si="34"/>
        <v>0</v>
      </c>
      <c r="DV47" s="21">
        <f t="shared" si="31"/>
        <v>0</v>
      </c>
      <c r="DW47" s="21">
        <f t="shared" si="31"/>
        <v>6981440</v>
      </c>
      <c r="DX47" s="21">
        <f t="shared" si="31"/>
        <v>0</v>
      </c>
      <c r="DY47" s="21">
        <f t="shared" si="31"/>
        <v>0</v>
      </c>
      <c r="DZ47" s="21">
        <f t="shared" si="31"/>
        <v>0</v>
      </c>
      <c r="EA47" s="21">
        <f t="shared" si="31"/>
        <v>0</v>
      </c>
      <c r="EB47" s="21">
        <f t="shared" si="31"/>
        <v>1524667</v>
      </c>
      <c r="ED47" s="27">
        <f t="shared" si="11"/>
        <v>139000000</v>
      </c>
      <c r="EE47" s="27">
        <f t="shared" si="15"/>
        <v>139000000</v>
      </c>
      <c r="EF47" s="27">
        <f t="shared" si="16"/>
        <v>139000000</v>
      </c>
    </row>
    <row r="48" spans="1:136" ht="29.25" customHeight="1" x14ac:dyDescent="0.3">
      <c r="A48" s="48"/>
      <c r="B48" s="172"/>
      <c r="C48" s="17" t="s">
        <v>166</v>
      </c>
      <c r="D48" s="29" t="s">
        <v>167</v>
      </c>
      <c r="E48" s="19">
        <v>410</v>
      </c>
      <c r="F48" s="20" t="s">
        <v>168</v>
      </c>
      <c r="G48" s="21">
        <f t="shared" si="23"/>
        <v>144453059</v>
      </c>
      <c r="H48" s="22">
        <v>100000000</v>
      </c>
      <c r="I48" s="22">
        <f t="shared" si="32"/>
        <v>-44453059</v>
      </c>
      <c r="J48" s="21"/>
      <c r="K48" s="21"/>
      <c r="L48" s="21"/>
      <c r="M48" s="21"/>
      <c r="N48" s="21"/>
      <c r="O48" s="21"/>
      <c r="P48" s="21"/>
      <c r="Q48" s="21">
        <v>30000000</v>
      </c>
      <c r="R48" s="21"/>
      <c r="S48" s="21"/>
      <c r="T48" s="21"/>
      <c r="U48" s="21"/>
      <c r="V48" s="21"/>
      <c r="W48" s="21"/>
      <c r="X48" s="21"/>
      <c r="Y48" s="21"/>
      <c r="Z48" s="21"/>
      <c r="AA48" s="21">
        <v>45015674</v>
      </c>
      <c r="AB48" s="21"/>
      <c r="AC48" s="21"/>
      <c r="AD48" s="21"/>
      <c r="AE48" s="21"/>
      <c r="AF48" s="21">
        <f>10000000+17180000+4100000+23621676+3000000+3000000+5535709+3000000</f>
        <v>69437385</v>
      </c>
      <c r="AG48" s="23">
        <f t="shared" si="1"/>
        <v>0.77507559739527565</v>
      </c>
      <c r="AH48" s="21">
        <f>SUM(AI48:BE48)</f>
        <v>111962041</v>
      </c>
      <c r="AI48" s="21"/>
      <c r="AJ48" s="21"/>
      <c r="AK48" s="21"/>
      <c r="AL48" s="21"/>
      <c r="AM48" s="21"/>
      <c r="AN48" s="21"/>
      <c r="AO48" s="21"/>
      <c r="AP48" s="21">
        <f>+'[1]Acuerdo PLAN INVERSIÓN 2021'!$S$4006</f>
        <v>23679830</v>
      </c>
      <c r="AQ48" s="21"/>
      <c r="AR48" s="21"/>
      <c r="AS48" s="21"/>
      <c r="AT48" s="21"/>
      <c r="AU48" s="21"/>
      <c r="AV48" s="21"/>
      <c r="AW48" s="21"/>
      <c r="AX48" s="21"/>
      <c r="AY48" s="21"/>
      <c r="AZ48" s="21">
        <f>+'[1]Acuerdo PLAN INVERSIÓN 2021'!$X$4006</f>
        <v>20969400</v>
      </c>
      <c r="BA48" s="21"/>
      <c r="BB48" s="21"/>
      <c r="BC48" s="21"/>
      <c r="BD48" s="21"/>
      <c r="BE48" s="21">
        <f>+'[1]Acuerdo PLAN INVERSIÓN 2021'!$AF$4006</f>
        <v>67312811</v>
      </c>
      <c r="BF48" s="23">
        <f t="shared" si="13"/>
        <v>0.22492440260472435</v>
      </c>
      <c r="BG48" s="21">
        <f t="shared" si="25"/>
        <v>32491018</v>
      </c>
      <c r="BH48" s="21">
        <f t="shared" si="35"/>
        <v>0</v>
      </c>
      <c r="BI48" s="21">
        <f t="shared" si="35"/>
        <v>0</v>
      </c>
      <c r="BJ48" s="21">
        <f t="shared" si="35"/>
        <v>0</v>
      </c>
      <c r="BK48" s="21">
        <f t="shared" si="35"/>
        <v>0</v>
      </c>
      <c r="BL48" s="21">
        <f t="shared" si="35"/>
        <v>0</v>
      </c>
      <c r="BM48" s="21">
        <f t="shared" si="35"/>
        <v>0</v>
      </c>
      <c r="BN48" s="21">
        <f t="shared" si="35"/>
        <v>0</v>
      </c>
      <c r="BO48" s="21">
        <f t="shared" si="35"/>
        <v>6320170</v>
      </c>
      <c r="BP48" s="21">
        <f t="shared" si="35"/>
        <v>0</v>
      </c>
      <c r="BQ48" s="21">
        <f t="shared" si="35"/>
        <v>0</v>
      </c>
      <c r="BR48" s="21">
        <f t="shared" si="35"/>
        <v>0</v>
      </c>
      <c r="BS48" s="21">
        <f t="shared" si="35"/>
        <v>0</v>
      </c>
      <c r="BT48" s="21">
        <f t="shared" si="35"/>
        <v>0</v>
      </c>
      <c r="BU48" s="21">
        <f t="shared" si="35"/>
        <v>0</v>
      </c>
      <c r="BV48" s="21">
        <f t="shared" si="35"/>
        <v>0</v>
      </c>
      <c r="BW48" s="21">
        <f t="shared" si="33"/>
        <v>0</v>
      </c>
      <c r="BX48" s="21">
        <f t="shared" si="27"/>
        <v>0</v>
      </c>
      <c r="BY48" s="21">
        <f t="shared" si="27"/>
        <v>24046274</v>
      </c>
      <c r="BZ48" s="21">
        <f t="shared" si="27"/>
        <v>0</v>
      </c>
      <c r="CA48" s="21">
        <f t="shared" si="27"/>
        <v>0</v>
      </c>
      <c r="CB48" s="21">
        <f t="shared" si="27"/>
        <v>0</v>
      </c>
      <c r="CC48" s="21">
        <f t="shared" si="27"/>
        <v>0</v>
      </c>
      <c r="CD48" s="21">
        <f t="shared" si="27"/>
        <v>2124574</v>
      </c>
      <c r="CE48" s="23">
        <f t="shared" si="6"/>
        <v>0.77507559739527565</v>
      </c>
      <c r="CF48" s="21">
        <f t="shared" si="28"/>
        <v>111962041</v>
      </c>
      <c r="CG48" s="21"/>
      <c r="CH48" s="21"/>
      <c r="CI48" s="21"/>
      <c r="CJ48" s="21"/>
      <c r="CK48" s="21"/>
      <c r="CL48" s="21"/>
      <c r="CM48" s="21"/>
      <c r="CN48" s="21">
        <f>+'[1]Acuerdo PLAN INVERSIÓN 2021'!$S$4006</f>
        <v>23679830</v>
      </c>
      <c r="CO48" s="21"/>
      <c r="CP48" s="21"/>
      <c r="CQ48" s="21"/>
      <c r="CR48" s="21"/>
      <c r="CS48" s="21"/>
      <c r="CT48" s="21"/>
      <c r="CU48" s="21"/>
      <c r="CV48" s="21"/>
      <c r="CW48" s="21"/>
      <c r="CX48" s="21">
        <f>+'[1]Acuerdo PLAN INVERSIÓN 2021'!$X$4006</f>
        <v>20969400</v>
      </c>
      <c r="CY48" s="21"/>
      <c r="CZ48" s="21"/>
      <c r="DA48" s="21"/>
      <c r="DB48" s="21"/>
      <c r="DC48" s="21">
        <f>+'[1]Acuerdo PLAN INVERSIÓN 2021'!$AF$4006</f>
        <v>67312811</v>
      </c>
      <c r="DD48" s="23">
        <f>1-CE48</f>
        <v>0.22492440260472435</v>
      </c>
      <c r="DE48" s="21">
        <f t="shared" si="29"/>
        <v>32491018</v>
      </c>
      <c r="DF48" s="21">
        <f t="shared" si="36"/>
        <v>0</v>
      </c>
      <c r="DG48" s="21">
        <f t="shared" si="36"/>
        <v>0</v>
      </c>
      <c r="DH48" s="21">
        <f t="shared" si="36"/>
        <v>0</v>
      </c>
      <c r="DI48" s="21">
        <f t="shared" si="36"/>
        <v>0</v>
      </c>
      <c r="DJ48" s="21">
        <f t="shared" si="36"/>
        <v>0</v>
      </c>
      <c r="DK48" s="21">
        <f t="shared" si="36"/>
        <v>0</v>
      </c>
      <c r="DL48" s="21">
        <f t="shared" si="36"/>
        <v>0</v>
      </c>
      <c r="DM48" s="21">
        <f t="shared" si="36"/>
        <v>6320170</v>
      </c>
      <c r="DN48" s="21">
        <f t="shared" si="36"/>
        <v>0</v>
      </c>
      <c r="DO48" s="21">
        <f t="shared" si="36"/>
        <v>0</v>
      </c>
      <c r="DP48" s="21">
        <f t="shared" si="36"/>
        <v>0</v>
      </c>
      <c r="DQ48" s="21">
        <f t="shared" si="36"/>
        <v>0</v>
      </c>
      <c r="DR48" s="21">
        <f t="shared" si="36"/>
        <v>0</v>
      </c>
      <c r="DS48" s="21">
        <f t="shared" si="36"/>
        <v>0</v>
      </c>
      <c r="DT48" s="21">
        <f t="shared" si="36"/>
        <v>0</v>
      </c>
      <c r="DU48" s="21">
        <f t="shared" si="34"/>
        <v>0</v>
      </c>
      <c r="DV48" s="21">
        <f t="shared" si="31"/>
        <v>0</v>
      </c>
      <c r="DW48" s="21">
        <f t="shared" si="31"/>
        <v>24046274</v>
      </c>
      <c r="DX48" s="21">
        <f t="shared" si="31"/>
        <v>0</v>
      </c>
      <c r="DY48" s="21">
        <f t="shared" si="31"/>
        <v>0</v>
      </c>
      <c r="DZ48" s="21">
        <f t="shared" si="31"/>
        <v>0</v>
      </c>
      <c r="EA48" s="21">
        <f t="shared" si="31"/>
        <v>0</v>
      </c>
      <c r="EB48" s="21">
        <f t="shared" si="31"/>
        <v>2124574</v>
      </c>
      <c r="ED48" s="27">
        <f t="shared" si="11"/>
        <v>144453059</v>
      </c>
      <c r="EE48" s="27">
        <f t="shared" si="15"/>
        <v>144453059</v>
      </c>
      <c r="EF48" s="27">
        <f t="shared" si="16"/>
        <v>144453059</v>
      </c>
    </row>
    <row r="49" spans="1:136" ht="23.25" customHeight="1" x14ac:dyDescent="0.3">
      <c r="A49" s="48"/>
      <c r="B49" s="173"/>
      <c r="C49" s="17" t="s">
        <v>169</v>
      </c>
      <c r="D49" s="29" t="s">
        <v>170</v>
      </c>
      <c r="E49" s="19">
        <v>410</v>
      </c>
      <c r="F49" s="31" t="s">
        <v>153</v>
      </c>
      <c r="G49" s="21">
        <f t="shared" si="23"/>
        <v>387982158</v>
      </c>
      <c r="H49" s="22">
        <v>243836000</v>
      </c>
      <c r="I49" s="22">
        <f t="shared" si="32"/>
        <v>-144146158</v>
      </c>
      <c r="J49" s="21"/>
      <c r="K49" s="21">
        <f>150000000+20000000</f>
        <v>170000000</v>
      </c>
      <c r="L49" s="21"/>
      <c r="M49" s="21"/>
      <c r="N49" s="21"/>
      <c r="O49" s="21"/>
      <c r="P49" s="21"/>
      <c r="Q49" s="21">
        <f>17696610+25000000</f>
        <v>42696610</v>
      </c>
      <c r="R49" s="21"/>
      <c r="S49" s="21"/>
      <c r="T49" s="21"/>
      <c r="U49" s="21">
        <f>20000000+38135548</f>
        <v>58135548</v>
      </c>
      <c r="V49" s="21"/>
      <c r="W49" s="21"/>
      <c r="X49" s="21"/>
      <c r="Y49" s="21"/>
      <c r="Z49" s="21"/>
      <c r="AA49" s="21">
        <v>110000000</v>
      </c>
      <c r="AB49" s="21"/>
      <c r="AC49" s="21"/>
      <c r="AD49" s="21"/>
      <c r="AE49" s="21"/>
      <c r="AF49" s="21">
        <f>5000000+25000000-22850000</f>
        <v>7150000</v>
      </c>
      <c r="AG49" s="23">
        <f t="shared" si="1"/>
        <v>0.43678893605205421</v>
      </c>
      <c r="AH49" s="21">
        <f t="shared" si="24"/>
        <v>169466314</v>
      </c>
      <c r="AI49" s="21"/>
      <c r="AJ49" s="21">
        <f>+'[1]Acuerdo PLAN INVERSIÓN 2021'!$J$4064</f>
        <v>110918042</v>
      </c>
      <c r="AK49" s="21"/>
      <c r="AL49" s="21"/>
      <c r="AM49" s="21"/>
      <c r="AN49" s="21"/>
      <c r="AO49" s="21"/>
      <c r="AP49" s="21">
        <f>+'[1]Acuerdo PLAN INVERSIÓN 2021'!$S$4064</f>
        <v>20540000</v>
      </c>
      <c r="AQ49" s="21"/>
      <c r="AR49" s="21"/>
      <c r="AS49" s="21"/>
      <c r="AT49" s="21">
        <f>+'[1]Acuerdo PLAN INVERSIÓN 2021'!$O$4064</f>
        <v>12596000</v>
      </c>
      <c r="AU49" s="21"/>
      <c r="AV49" s="21"/>
      <c r="AW49" s="21"/>
      <c r="AX49" s="21"/>
      <c r="AY49" s="21"/>
      <c r="AZ49" s="21">
        <f>+'[1]Acuerdo PLAN INVERSIÓN 2021'!$X$4064</f>
        <v>18262272</v>
      </c>
      <c r="BA49" s="21"/>
      <c r="BB49" s="21"/>
      <c r="BC49" s="21"/>
      <c r="BD49" s="21"/>
      <c r="BE49" s="21">
        <f>+'[3]Acuerdo PLAN INVERSIÓN 2021'!$AF$2646</f>
        <v>7150000</v>
      </c>
      <c r="BF49" s="23">
        <f t="shared" si="13"/>
        <v>0.56321106394794573</v>
      </c>
      <c r="BG49" s="21">
        <f t="shared" si="25"/>
        <v>218515844</v>
      </c>
      <c r="BH49" s="21">
        <f t="shared" si="35"/>
        <v>0</v>
      </c>
      <c r="BI49" s="21">
        <f t="shared" si="35"/>
        <v>59081958</v>
      </c>
      <c r="BJ49" s="21">
        <f t="shared" si="35"/>
        <v>0</v>
      </c>
      <c r="BK49" s="21">
        <f t="shared" si="35"/>
        <v>0</v>
      </c>
      <c r="BL49" s="21">
        <f t="shared" si="35"/>
        <v>0</v>
      </c>
      <c r="BM49" s="21">
        <f t="shared" si="35"/>
        <v>0</v>
      </c>
      <c r="BN49" s="21">
        <f t="shared" si="35"/>
        <v>0</v>
      </c>
      <c r="BO49" s="21">
        <f t="shared" si="35"/>
        <v>22156610</v>
      </c>
      <c r="BP49" s="21">
        <f t="shared" si="35"/>
        <v>0</v>
      </c>
      <c r="BQ49" s="21">
        <f t="shared" si="35"/>
        <v>0</v>
      </c>
      <c r="BR49" s="21">
        <f t="shared" si="35"/>
        <v>0</v>
      </c>
      <c r="BS49" s="21">
        <f t="shared" si="35"/>
        <v>45539548</v>
      </c>
      <c r="BT49" s="21">
        <f t="shared" si="35"/>
        <v>0</v>
      </c>
      <c r="BU49" s="21">
        <f t="shared" si="35"/>
        <v>0</v>
      </c>
      <c r="BV49" s="21">
        <f t="shared" si="35"/>
        <v>0</v>
      </c>
      <c r="BW49" s="21">
        <f t="shared" si="33"/>
        <v>0</v>
      </c>
      <c r="BX49" s="21">
        <f t="shared" si="27"/>
        <v>0</v>
      </c>
      <c r="BY49" s="21">
        <f t="shared" si="27"/>
        <v>91737728</v>
      </c>
      <c r="BZ49" s="21">
        <f t="shared" si="27"/>
        <v>0</v>
      </c>
      <c r="CA49" s="21">
        <f t="shared" si="27"/>
        <v>0</v>
      </c>
      <c r="CB49" s="21">
        <f t="shared" si="27"/>
        <v>0</v>
      </c>
      <c r="CC49" s="21">
        <f t="shared" si="27"/>
        <v>0</v>
      </c>
      <c r="CD49" s="21">
        <f t="shared" si="27"/>
        <v>0</v>
      </c>
      <c r="CE49" s="23">
        <f t="shared" si="6"/>
        <v>0.43678893605205421</v>
      </c>
      <c r="CF49" s="21">
        <f t="shared" si="28"/>
        <v>169466314</v>
      </c>
      <c r="CG49" s="21"/>
      <c r="CH49" s="21">
        <f>+'[1]Acuerdo PLAN INVERSIÓN 2021'!$J$4064</f>
        <v>110918042</v>
      </c>
      <c r="CI49" s="21"/>
      <c r="CJ49" s="21"/>
      <c r="CK49" s="21"/>
      <c r="CL49" s="21"/>
      <c r="CM49" s="21"/>
      <c r="CN49" s="21">
        <f>+'[1]Acuerdo PLAN INVERSIÓN 2021'!$S$4064</f>
        <v>20540000</v>
      </c>
      <c r="CO49" s="21"/>
      <c r="CP49" s="21"/>
      <c r="CQ49" s="21"/>
      <c r="CR49" s="21">
        <f>+'[1]Acuerdo PLAN INVERSIÓN 2021'!$O$4064</f>
        <v>12596000</v>
      </c>
      <c r="CS49" s="21"/>
      <c r="CT49" s="21"/>
      <c r="CU49" s="21"/>
      <c r="CV49" s="21"/>
      <c r="CW49" s="21"/>
      <c r="CX49" s="21">
        <f>+'[1]Acuerdo PLAN INVERSIÓN 2021'!$X$4064</f>
        <v>18262272</v>
      </c>
      <c r="CY49" s="21"/>
      <c r="CZ49" s="21"/>
      <c r="DA49" s="21"/>
      <c r="DB49" s="21"/>
      <c r="DC49" s="21">
        <f>+'[3]Acuerdo PLAN INVERSIÓN 2021'!$AF$2646</f>
        <v>7150000</v>
      </c>
      <c r="DD49" s="23">
        <f t="shared" si="8"/>
        <v>0.56321106394794573</v>
      </c>
      <c r="DE49" s="21">
        <f t="shared" si="29"/>
        <v>218515844</v>
      </c>
      <c r="DF49" s="21">
        <f t="shared" si="36"/>
        <v>0</v>
      </c>
      <c r="DG49" s="21">
        <f t="shared" si="36"/>
        <v>59081958</v>
      </c>
      <c r="DH49" s="21">
        <f t="shared" si="36"/>
        <v>0</v>
      </c>
      <c r="DI49" s="21">
        <f t="shared" si="36"/>
        <v>0</v>
      </c>
      <c r="DJ49" s="21">
        <f t="shared" si="36"/>
        <v>0</v>
      </c>
      <c r="DK49" s="21">
        <f t="shared" si="36"/>
        <v>0</v>
      </c>
      <c r="DL49" s="21">
        <f t="shared" si="36"/>
        <v>0</v>
      </c>
      <c r="DM49" s="21">
        <f t="shared" si="36"/>
        <v>22156610</v>
      </c>
      <c r="DN49" s="21">
        <f t="shared" si="36"/>
        <v>0</v>
      </c>
      <c r="DO49" s="21">
        <f t="shared" si="36"/>
        <v>0</v>
      </c>
      <c r="DP49" s="21">
        <f t="shared" si="36"/>
        <v>0</v>
      </c>
      <c r="DQ49" s="21">
        <f t="shared" si="36"/>
        <v>45539548</v>
      </c>
      <c r="DR49" s="21">
        <f t="shared" si="36"/>
        <v>0</v>
      </c>
      <c r="DS49" s="21">
        <f t="shared" si="36"/>
        <v>0</v>
      </c>
      <c r="DT49" s="21">
        <f t="shared" si="36"/>
        <v>0</v>
      </c>
      <c r="DU49" s="21">
        <f t="shared" si="34"/>
        <v>0</v>
      </c>
      <c r="DV49" s="21">
        <f t="shared" si="31"/>
        <v>0</v>
      </c>
      <c r="DW49" s="21">
        <f t="shared" si="31"/>
        <v>91737728</v>
      </c>
      <c r="DX49" s="21">
        <f t="shared" si="31"/>
        <v>0</v>
      </c>
      <c r="DY49" s="21">
        <f t="shared" si="31"/>
        <v>0</v>
      </c>
      <c r="DZ49" s="21">
        <f t="shared" si="31"/>
        <v>0</v>
      </c>
      <c r="EA49" s="21">
        <f t="shared" si="31"/>
        <v>0</v>
      </c>
      <c r="EB49" s="21">
        <f t="shared" si="31"/>
        <v>0</v>
      </c>
      <c r="ED49" s="27">
        <f t="shared" si="11"/>
        <v>387982158</v>
      </c>
      <c r="EE49" s="27">
        <f t="shared" si="15"/>
        <v>387982158</v>
      </c>
      <c r="EF49" s="27">
        <f t="shared" si="16"/>
        <v>387982158</v>
      </c>
    </row>
    <row r="50" spans="1:136" s="38" customFormat="1" ht="17.399999999999999" customHeight="1" thickBot="1" x14ac:dyDescent="0.35">
      <c r="A50" s="49"/>
      <c r="B50" s="187" t="s">
        <v>171</v>
      </c>
      <c r="C50" s="187"/>
      <c r="D50" s="187"/>
      <c r="E50" s="187"/>
      <c r="F50" s="124"/>
      <c r="G50" s="125">
        <f t="shared" ref="G50:AF50" si="37">SUM(G25:G49)</f>
        <v>9209707080</v>
      </c>
      <c r="H50" s="125">
        <f t="shared" si="37"/>
        <v>7720196000</v>
      </c>
      <c r="I50" s="125">
        <f t="shared" si="37"/>
        <v>-1489511080</v>
      </c>
      <c r="J50" s="125">
        <f t="shared" si="37"/>
        <v>0</v>
      </c>
      <c r="K50" s="125">
        <f t="shared" si="37"/>
        <v>477989917</v>
      </c>
      <c r="L50" s="125">
        <f t="shared" si="37"/>
        <v>0</v>
      </c>
      <c r="M50" s="125">
        <f t="shared" si="37"/>
        <v>0</v>
      </c>
      <c r="N50" s="125">
        <f t="shared" si="37"/>
        <v>0</v>
      </c>
      <c r="O50" s="125">
        <f t="shared" si="37"/>
        <v>0</v>
      </c>
      <c r="P50" s="125">
        <f t="shared" si="37"/>
        <v>0</v>
      </c>
      <c r="Q50" s="125">
        <f t="shared" si="37"/>
        <v>3406132571</v>
      </c>
      <c r="R50" s="125">
        <f t="shared" si="37"/>
        <v>75000000</v>
      </c>
      <c r="S50" s="125">
        <f t="shared" si="37"/>
        <v>180000000</v>
      </c>
      <c r="T50" s="125">
        <f t="shared" si="37"/>
        <v>30000000</v>
      </c>
      <c r="U50" s="125">
        <f t="shared" si="37"/>
        <v>58135548</v>
      </c>
      <c r="V50" s="125">
        <f t="shared" si="37"/>
        <v>0</v>
      </c>
      <c r="W50" s="125">
        <f t="shared" si="37"/>
        <v>0</v>
      </c>
      <c r="X50" s="125">
        <f t="shared" si="37"/>
        <v>104834591</v>
      </c>
      <c r="Y50" s="125">
        <f>SUM(Y25:Y49)</f>
        <v>2860154075</v>
      </c>
      <c r="Z50" s="125">
        <f t="shared" si="37"/>
        <v>0</v>
      </c>
      <c r="AA50" s="125">
        <f t="shared" si="37"/>
        <v>625000000</v>
      </c>
      <c r="AB50" s="125">
        <f t="shared" si="37"/>
        <v>392155169</v>
      </c>
      <c r="AC50" s="125">
        <f t="shared" si="37"/>
        <v>0</v>
      </c>
      <c r="AD50" s="125">
        <f t="shared" si="37"/>
        <v>475996742</v>
      </c>
      <c r="AE50" s="125">
        <f t="shared" si="37"/>
        <v>0</v>
      </c>
      <c r="AF50" s="125">
        <f t="shared" si="37"/>
        <v>524308467</v>
      </c>
      <c r="AG50" s="123">
        <f t="shared" si="1"/>
        <v>0.59088263575913857</v>
      </c>
      <c r="AH50" s="125">
        <f>SUM(AH25:AH49)</f>
        <v>5441855994</v>
      </c>
      <c r="AI50" s="125">
        <f t="shared" ref="AI50:CT50" si="38">SUM(AI25:AI49)</f>
        <v>0</v>
      </c>
      <c r="AJ50" s="125">
        <f t="shared" si="38"/>
        <v>363975706</v>
      </c>
      <c r="AK50" s="125">
        <f t="shared" si="38"/>
        <v>0</v>
      </c>
      <c r="AL50" s="125">
        <f t="shared" si="38"/>
        <v>0</v>
      </c>
      <c r="AM50" s="125">
        <f t="shared" si="38"/>
        <v>0</v>
      </c>
      <c r="AN50" s="125">
        <f t="shared" si="38"/>
        <v>0</v>
      </c>
      <c r="AO50" s="125">
        <f t="shared" si="38"/>
        <v>0</v>
      </c>
      <c r="AP50" s="125">
        <f t="shared" si="38"/>
        <v>1838633546</v>
      </c>
      <c r="AQ50" s="125">
        <f t="shared" si="38"/>
        <v>23499931</v>
      </c>
      <c r="AR50" s="125">
        <f t="shared" si="38"/>
        <v>21467891</v>
      </c>
      <c r="AS50" s="125">
        <f t="shared" si="38"/>
        <v>12049526</v>
      </c>
      <c r="AT50" s="125">
        <f t="shared" si="38"/>
        <v>12596000</v>
      </c>
      <c r="AU50" s="125">
        <f t="shared" si="38"/>
        <v>0</v>
      </c>
      <c r="AV50" s="125">
        <f t="shared" si="38"/>
        <v>0</v>
      </c>
      <c r="AW50" s="125">
        <f t="shared" si="38"/>
        <v>7388999</v>
      </c>
      <c r="AX50" s="125">
        <f t="shared" si="38"/>
        <v>2066607734</v>
      </c>
      <c r="AY50" s="125">
        <f t="shared" si="38"/>
        <v>0</v>
      </c>
      <c r="AZ50" s="125">
        <f t="shared" si="38"/>
        <v>352349776</v>
      </c>
      <c r="BA50" s="125">
        <f t="shared" si="38"/>
        <v>45669605</v>
      </c>
      <c r="BB50" s="125">
        <f t="shared" si="38"/>
        <v>0</v>
      </c>
      <c r="BC50" s="125">
        <f t="shared" si="38"/>
        <v>331087169</v>
      </c>
      <c r="BD50" s="125">
        <f t="shared" si="38"/>
        <v>0</v>
      </c>
      <c r="BE50" s="125">
        <f t="shared" si="38"/>
        <v>366530111</v>
      </c>
      <c r="BF50" s="123">
        <f t="shared" si="13"/>
        <v>0.40911736424086143</v>
      </c>
      <c r="BG50" s="125">
        <f t="shared" si="38"/>
        <v>3767851086</v>
      </c>
      <c r="BH50" s="125">
        <f t="shared" si="38"/>
        <v>0</v>
      </c>
      <c r="BI50" s="125">
        <f t="shared" si="38"/>
        <v>114014211</v>
      </c>
      <c r="BJ50" s="125">
        <f t="shared" si="38"/>
        <v>0</v>
      </c>
      <c r="BK50" s="125">
        <f t="shared" si="38"/>
        <v>0</v>
      </c>
      <c r="BL50" s="125">
        <f t="shared" si="38"/>
        <v>0</v>
      </c>
      <c r="BM50" s="125">
        <f t="shared" si="38"/>
        <v>0</v>
      </c>
      <c r="BN50" s="125">
        <f t="shared" si="38"/>
        <v>0</v>
      </c>
      <c r="BO50" s="125">
        <f t="shared" si="38"/>
        <v>1567499025</v>
      </c>
      <c r="BP50" s="125">
        <f t="shared" si="38"/>
        <v>51500069</v>
      </c>
      <c r="BQ50" s="125">
        <f t="shared" si="38"/>
        <v>158532109</v>
      </c>
      <c r="BR50" s="125">
        <f t="shared" si="38"/>
        <v>17950474</v>
      </c>
      <c r="BS50" s="125">
        <f t="shared" si="38"/>
        <v>45539548</v>
      </c>
      <c r="BT50" s="125">
        <f t="shared" si="38"/>
        <v>0</v>
      </c>
      <c r="BU50" s="125">
        <f t="shared" si="38"/>
        <v>0</v>
      </c>
      <c r="BV50" s="125">
        <f t="shared" si="38"/>
        <v>97445592</v>
      </c>
      <c r="BW50" s="125">
        <f t="shared" si="38"/>
        <v>793546341</v>
      </c>
      <c r="BX50" s="125">
        <f t="shared" si="38"/>
        <v>0</v>
      </c>
      <c r="BY50" s="125">
        <f t="shared" si="38"/>
        <v>272650224</v>
      </c>
      <c r="BZ50" s="125">
        <f t="shared" si="38"/>
        <v>346485564</v>
      </c>
      <c r="CA50" s="125">
        <f t="shared" si="38"/>
        <v>0</v>
      </c>
      <c r="CB50" s="125">
        <f t="shared" si="38"/>
        <v>144909573</v>
      </c>
      <c r="CC50" s="125">
        <f t="shared" si="38"/>
        <v>0</v>
      </c>
      <c r="CD50" s="125">
        <f t="shared" si="38"/>
        <v>157778356</v>
      </c>
      <c r="CE50" s="121">
        <f t="shared" si="6"/>
        <v>0.59088263575913857</v>
      </c>
      <c r="CF50" s="125">
        <f t="shared" si="38"/>
        <v>5441855994</v>
      </c>
      <c r="CG50" s="125">
        <f t="shared" si="38"/>
        <v>0</v>
      </c>
      <c r="CH50" s="125">
        <f t="shared" si="38"/>
        <v>363975706</v>
      </c>
      <c r="CI50" s="125">
        <f t="shared" si="38"/>
        <v>0</v>
      </c>
      <c r="CJ50" s="125">
        <f t="shared" si="38"/>
        <v>0</v>
      </c>
      <c r="CK50" s="125">
        <f t="shared" si="38"/>
        <v>0</v>
      </c>
      <c r="CL50" s="125">
        <f t="shared" si="38"/>
        <v>0</v>
      </c>
      <c r="CM50" s="125">
        <f t="shared" si="38"/>
        <v>0</v>
      </c>
      <c r="CN50" s="125">
        <f t="shared" si="38"/>
        <v>1838633546</v>
      </c>
      <c r="CO50" s="125">
        <f t="shared" si="38"/>
        <v>23499931</v>
      </c>
      <c r="CP50" s="125">
        <f t="shared" si="38"/>
        <v>21467891</v>
      </c>
      <c r="CQ50" s="125">
        <f t="shared" si="38"/>
        <v>12049526</v>
      </c>
      <c r="CR50" s="125">
        <f t="shared" si="38"/>
        <v>12596000</v>
      </c>
      <c r="CS50" s="125">
        <f t="shared" si="38"/>
        <v>0</v>
      </c>
      <c r="CT50" s="125">
        <f t="shared" si="38"/>
        <v>0</v>
      </c>
      <c r="CU50" s="125">
        <f t="shared" ref="CU50:EB50" si="39">SUM(CU25:CU49)</f>
        <v>7388999</v>
      </c>
      <c r="CV50" s="125">
        <f t="shared" si="39"/>
        <v>2066607734</v>
      </c>
      <c r="CW50" s="125">
        <f t="shared" si="39"/>
        <v>0</v>
      </c>
      <c r="CX50" s="125">
        <f t="shared" si="39"/>
        <v>352349776</v>
      </c>
      <c r="CY50" s="125">
        <f t="shared" si="39"/>
        <v>45669605</v>
      </c>
      <c r="CZ50" s="125">
        <f t="shared" si="39"/>
        <v>0</v>
      </c>
      <c r="DA50" s="125">
        <f t="shared" si="39"/>
        <v>331087169</v>
      </c>
      <c r="DB50" s="125">
        <f t="shared" si="39"/>
        <v>0</v>
      </c>
      <c r="DC50" s="125">
        <f t="shared" si="39"/>
        <v>366530111</v>
      </c>
      <c r="DD50" s="123">
        <f t="shared" si="8"/>
        <v>0.40911736424086143</v>
      </c>
      <c r="DE50" s="125">
        <f t="shared" si="39"/>
        <v>3767851086</v>
      </c>
      <c r="DF50" s="125">
        <f t="shared" si="39"/>
        <v>0</v>
      </c>
      <c r="DG50" s="125">
        <f t="shared" si="39"/>
        <v>114014211</v>
      </c>
      <c r="DH50" s="125">
        <f t="shared" si="39"/>
        <v>0</v>
      </c>
      <c r="DI50" s="125">
        <f t="shared" si="39"/>
        <v>0</v>
      </c>
      <c r="DJ50" s="125">
        <f t="shared" si="39"/>
        <v>0</v>
      </c>
      <c r="DK50" s="125">
        <f t="shared" si="39"/>
        <v>0</v>
      </c>
      <c r="DL50" s="125">
        <f t="shared" si="39"/>
        <v>0</v>
      </c>
      <c r="DM50" s="125">
        <f t="shared" si="39"/>
        <v>1567499025</v>
      </c>
      <c r="DN50" s="125">
        <f t="shared" si="39"/>
        <v>51500069</v>
      </c>
      <c r="DO50" s="125">
        <f t="shared" si="39"/>
        <v>158532109</v>
      </c>
      <c r="DP50" s="125">
        <f t="shared" si="39"/>
        <v>17950474</v>
      </c>
      <c r="DQ50" s="125">
        <f t="shared" si="39"/>
        <v>45539548</v>
      </c>
      <c r="DR50" s="125">
        <f t="shared" si="39"/>
        <v>0</v>
      </c>
      <c r="DS50" s="125">
        <f t="shared" si="39"/>
        <v>0</v>
      </c>
      <c r="DT50" s="125">
        <f t="shared" si="39"/>
        <v>97445592</v>
      </c>
      <c r="DU50" s="125">
        <f t="shared" si="39"/>
        <v>793546341</v>
      </c>
      <c r="DV50" s="125">
        <f t="shared" si="39"/>
        <v>0</v>
      </c>
      <c r="DW50" s="125">
        <f t="shared" si="39"/>
        <v>272650224</v>
      </c>
      <c r="DX50" s="125">
        <f t="shared" si="39"/>
        <v>346485564</v>
      </c>
      <c r="DY50" s="125">
        <f t="shared" si="39"/>
        <v>0</v>
      </c>
      <c r="DZ50" s="125">
        <f t="shared" si="39"/>
        <v>144909573</v>
      </c>
      <c r="EA50" s="125">
        <f t="shared" si="39"/>
        <v>0</v>
      </c>
      <c r="EB50" s="125">
        <f t="shared" si="39"/>
        <v>157778356</v>
      </c>
      <c r="ED50" s="27">
        <f t="shared" si="11"/>
        <v>9209707080</v>
      </c>
      <c r="EE50" s="27">
        <f t="shared" si="15"/>
        <v>9209707080</v>
      </c>
      <c r="EF50" s="27">
        <f t="shared" si="16"/>
        <v>9209707080</v>
      </c>
    </row>
    <row r="51" spans="1:136" ht="27.75" customHeight="1" thickTop="1" x14ac:dyDescent="0.3">
      <c r="A51" s="174" t="s">
        <v>172</v>
      </c>
      <c r="B51" s="182" t="s">
        <v>173</v>
      </c>
      <c r="C51" s="50" t="s">
        <v>174</v>
      </c>
      <c r="D51" s="29" t="s">
        <v>175</v>
      </c>
      <c r="E51" s="51">
        <v>520</v>
      </c>
      <c r="F51" s="31" t="s">
        <v>176</v>
      </c>
      <c r="G51" s="21">
        <f t="shared" ref="G51:G76" si="40">SUM(J51:AF51)</f>
        <v>33908250</v>
      </c>
      <c r="H51" s="22">
        <v>45000000</v>
      </c>
      <c r="I51" s="22">
        <f>H51-G51</f>
        <v>11091750</v>
      </c>
      <c r="J51" s="21"/>
      <c r="K51" s="21">
        <f>20000000+10000000-6091750</f>
        <v>23908250</v>
      </c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>
        <f>20000000-20000000</f>
        <v>0</v>
      </c>
      <c r="AB51" s="21"/>
      <c r="AC51" s="21"/>
      <c r="AD51" s="21"/>
      <c r="AE51" s="21"/>
      <c r="AF51" s="21">
        <f>6000000+4000000</f>
        <v>10000000</v>
      </c>
      <c r="AG51" s="42">
        <f t="shared" si="1"/>
        <v>0.394749065492911</v>
      </c>
      <c r="AH51" s="43">
        <f t="shared" ref="AH51:AH114" si="41">SUM(AI51:BE51)</f>
        <v>13385250</v>
      </c>
      <c r="AI51" s="21"/>
      <c r="AJ51" s="43">
        <f>+'[1]Acuerdo PLAN INVERSIÓN 2021'!$J$4237</f>
        <v>12885250</v>
      </c>
      <c r="AK51" s="43"/>
      <c r="AL51" s="43"/>
      <c r="AM51" s="43"/>
      <c r="AN51" s="43"/>
      <c r="AO51" s="43"/>
      <c r="AP51" s="43"/>
      <c r="AQ51" s="43"/>
      <c r="AR51" s="43"/>
      <c r="AS51" s="43"/>
      <c r="AT51" s="43"/>
      <c r="AU51" s="43"/>
      <c r="AV51" s="43"/>
      <c r="AW51" s="43"/>
      <c r="AX51" s="43"/>
      <c r="AY51" s="43"/>
      <c r="AZ51" s="43"/>
      <c r="BA51" s="43"/>
      <c r="BB51" s="43"/>
      <c r="BC51" s="43"/>
      <c r="BD51" s="43"/>
      <c r="BE51" s="43">
        <f>+'[1]Acuerdo PLAN INVERSIÓN 2021'!$AF$4237</f>
        <v>500000</v>
      </c>
      <c r="BF51" s="42">
        <f t="shared" si="13"/>
        <v>0.605250934507089</v>
      </c>
      <c r="BG51" s="21">
        <f t="shared" ref="BG51:BG76" si="42">SUM(BH51:CD51)</f>
        <v>20523000</v>
      </c>
      <c r="BH51" s="21">
        <f t="shared" ref="BH51:BW66" si="43">+J51-AI51</f>
        <v>0</v>
      </c>
      <c r="BI51" s="21">
        <f t="shared" si="43"/>
        <v>11023000</v>
      </c>
      <c r="BJ51" s="21">
        <f t="shared" si="43"/>
        <v>0</v>
      </c>
      <c r="BK51" s="21">
        <f t="shared" si="43"/>
        <v>0</v>
      </c>
      <c r="BL51" s="21">
        <f t="shared" si="43"/>
        <v>0</v>
      </c>
      <c r="BM51" s="21">
        <f t="shared" si="43"/>
        <v>0</v>
      </c>
      <c r="BN51" s="21">
        <f t="shared" si="43"/>
        <v>0</v>
      </c>
      <c r="BO51" s="21">
        <f t="shared" si="43"/>
        <v>0</v>
      </c>
      <c r="BP51" s="21">
        <f t="shared" si="43"/>
        <v>0</v>
      </c>
      <c r="BQ51" s="21">
        <f t="shared" si="43"/>
        <v>0</v>
      </c>
      <c r="BR51" s="21">
        <f t="shared" si="43"/>
        <v>0</v>
      </c>
      <c r="BS51" s="21">
        <f t="shared" si="43"/>
        <v>0</v>
      </c>
      <c r="BT51" s="21">
        <f t="shared" si="43"/>
        <v>0</v>
      </c>
      <c r="BU51" s="21">
        <f t="shared" si="43"/>
        <v>0</v>
      </c>
      <c r="BV51" s="21">
        <f t="shared" si="43"/>
        <v>0</v>
      </c>
      <c r="BW51" s="21">
        <f t="shared" si="43"/>
        <v>0</v>
      </c>
      <c r="BX51" s="21">
        <f t="shared" ref="BX51:CD76" si="44">+Z51-AY51</f>
        <v>0</v>
      </c>
      <c r="BY51" s="21">
        <f t="shared" si="44"/>
        <v>0</v>
      </c>
      <c r="BZ51" s="21">
        <f t="shared" si="44"/>
        <v>0</v>
      </c>
      <c r="CA51" s="21">
        <f t="shared" si="44"/>
        <v>0</v>
      </c>
      <c r="CB51" s="21">
        <f t="shared" si="44"/>
        <v>0</v>
      </c>
      <c r="CC51" s="21">
        <f t="shared" si="44"/>
        <v>0</v>
      </c>
      <c r="CD51" s="21">
        <f t="shared" si="44"/>
        <v>9500000</v>
      </c>
      <c r="CE51" s="42">
        <f t="shared" si="6"/>
        <v>0.394749065492911</v>
      </c>
      <c r="CF51" s="21">
        <f t="shared" ref="CF51:CF114" si="45">SUM(CG51:DC51)</f>
        <v>13385250</v>
      </c>
      <c r="CG51" s="21"/>
      <c r="CH51" s="43">
        <f>+'[1]Acuerdo PLAN INVERSIÓN 2021'!$J$4237</f>
        <v>12885250</v>
      </c>
      <c r="CI51" s="43"/>
      <c r="CJ51" s="43"/>
      <c r="CK51" s="43"/>
      <c r="CL51" s="43"/>
      <c r="CM51" s="43"/>
      <c r="CN51" s="43"/>
      <c r="CO51" s="43"/>
      <c r="CP51" s="43"/>
      <c r="CQ51" s="43"/>
      <c r="CR51" s="43"/>
      <c r="CS51" s="43"/>
      <c r="CT51" s="43"/>
      <c r="CU51" s="43"/>
      <c r="CV51" s="43"/>
      <c r="CW51" s="43"/>
      <c r="CX51" s="43"/>
      <c r="CY51" s="43"/>
      <c r="CZ51" s="43"/>
      <c r="DA51" s="43"/>
      <c r="DB51" s="43"/>
      <c r="DC51" s="43">
        <f>+'[1]Acuerdo PLAN INVERSIÓN 2021'!$AF$4237</f>
        <v>500000</v>
      </c>
      <c r="DD51" s="23">
        <f t="shared" si="8"/>
        <v>0.605250934507089</v>
      </c>
      <c r="DE51" s="21">
        <f t="shared" ref="DE51:DE96" si="46">SUM(DF51:EB51)</f>
        <v>20523000</v>
      </c>
      <c r="DF51" s="21">
        <f t="shared" ref="DF51:DU66" si="47">+J51-CG51</f>
        <v>0</v>
      </c>
      <c r="DG51" s="21">
        <f t="shared" si="47"/>
        <v>11023000</v>
      </c>
      <c r="DH51" s="21">
        <f t="shared" si="47"/>
        <v>0</v>
      </c>
      <c r="DI51" s="21">
        <f t="shared" si="47"/>
        <v>0</v>
      </c>
      <c r="DJ51" s="21">
        <f t="shared" si="47"/>
        <v>0</v>
      </c>
      <c r="DK51" s="21">
        <f t="shared" si="47"/>
        <v>0</v>
      </c>
      <c r="DL51" s="21">
        <f t="shared" si="47"/>
        <v>0</v>
      </c>
      <c r="DM51" s="21">
        <f t="shared" si="47"/>
        <v>0</v>
      </c>
      <c r="DN51" s="21">
        <f t="shared" si="47"/>
        <v>0</v>
      </c>
      <c r="DO51" s="21">
        <f t="shared" si="47"/>
        <v>0</v>
      </c>
      <c r="DP51" s="21">
        <f t="shared" si="47"/>
        <v>0</v>
      </c>
      <c r="DQ51" s="21">
        <f t="shared" si="47"/>
        <v>0</v>
      </c>
      <c r="DR51" s="21">
        <f t="shared" si="47"/>
        <v>0</v>
      </c>
      <c r="DS51" s="21">
        <f t="shared" si="47"/>
        <v>0</v>
      </c>
      <c r="DT51" s="21">
        <f t="shared" si="47"/>
        <v>0</v>
      </c>
      <c r="DU51" s="21">
        <f t="shared" si="47"/>
        <v>0</v>
      </c>
      <c r="DV51" s="21">
        <f t="shared" ref="DV51:EB76" si="48">+Z51-CW51</f>
        <v>0</v>
      </c>
      <c r="DW51" s="21">
        <f t="shared" si="48"/>
        <v>0</v>
      </c>
      <c r="DX51" s="21">
        <f t="shared" si="48"/>
        <v>0</v>
      </c>
      <c r="DY51" s="21">
        <f t="shared" si="48"/>
        <v>0</v>
      </c>
      <c r="DZ51" s="21">
        <f t="shared" si="48"/>
        <v>0</v>
      </c>
      <c r="EA51" s="21">
        <f t="shared" si="48"/>
        <v>0</v>
      </c>
      <c r="EB51" s="21">
        <f t="shared" si="48"/>
        <v>9500000</v>
      </c>
      <c r="ED51" s="27">
        <f t="shared" si="11"/>
        <v>33908250</v>
      </c>
      <c r="EE51" s="27">
        <f t="shared" si="15"/>
        <v>33908250</v>
      </c>
      <c r="EF51" s="27">
        <f t="shared" si="16"/>
        <v>33908250</v>
      </c>
    </row>
    <row r="52" spans="1:136" ht="24.75" customHeight="1" x14ac:dyDescent="0.3">
      <c r="A52" s="175"/>
      <c r="B52" s="172"/>
      <c r="C52" s="33" t="s">
        <v>177</v>
      </c>
      <c r="D52" s="29" t="s">
        <v>178</v>
      </c>
      <c r="E52" s="19">
        <v>520</v>
      </c>
      <c r="F52" s="20" t="s">
        <v>179</v>
      </c>
      <c r="G52" s="21">
        <f t="shared" si="40"/>
        <v>60000000</v>
      </c>
      <c r="H52" s="22">
        <v>70000000</v>
      </c>
      <c r="I52" s="22">
        <f t="shared" ref="I52:I76" si="49">H52-G52</f>
        <v>10000000</v>
      </c>
      <c r="J52" s="21"/>
      <c r="K52" s="21">
        <f>20000000+10000000</f>
        <v>30000000</v>
      </c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>
        <f>30000000</f>
        <v>30000000</v>
      </c>
      <c r="AB52" s="21"/>
      <c r="AC52" s="21"/>
      <c r="AD52" s="21"/>
      <c r="AE52" s="21"/>
      <c r="AF52" s="21">
        <f>16000000-16000000</f>
        <v>0</v>
      </c>
      <c r="AG52" s="23">
        <f t="shared" si="1"/>
        <v>0.61724058333333331</v>
      </c>
      <c r="AH52" s="21">
        <f t="shared" si="41"/>
        <v>37034435</v>
      </c>
      <c r="AI52" s="21"/>
      <c r="AJ52" s="21">
        <f>+'[1]Acuerdo PLAN INVERSIÓN 2021'!$J$4260</f>
        <v>19999997</v>
      </c>
      <c r="AK52" s="21"/>
      <c r="AL52" s="21"/>
      <c r="AM52" s="21"/>
      <c r="AN52" s="21"/>
      <c r="AO52" s="21"/>
      <c r="AP52" s="21"/>
      <c r="AQ52" s="21"/>
      <c r="AR52" s="21"/>
      <c r="AS52" s="21"/>
      <c r="AT52" s="21"/>
      <c r="AU52" s="21"/>
      <c r="AV52" s="21"/>
      <c r="AW52" s="21"/>
      <c r="AX52" s="21"/>
      <c r="AY52" s="21"/>
      <c r="AZ52" s="21">
        <f>+'[1]Acuerdo PLAN INVERSIÓN 2021'!$X$4260</f>
        <v>17034438</v>
      </c>
      <c r="BA52" s="21"/>
      <c r="BB52" s="21"/>
      <c r="BC52" s="21"/>
      <c r="BD52" s="21"/>
      <c r="BE52" s="21"/>
      <c r="BF52" s="23">
        <f t="shared" si="13"/>
        <v>0.38275941666666669</v>
      </c>
      <c r="BG52" s="21">
        <f t="shared" si="42"/>
        <v>22965565</v>
      </c>
      <c r="BH52" s="21">
        <f t="shared" si="43"/>
        <v>0</v>
      </c>
      <c r="BI52" s="21">
        <f t="shared" si="43"/>
        <v>10000003</v>
      </c>
      <c r="BJ52" s="21">
        <f t="shared" si="43"/>
        <v>0</v>
      </c>
      <c r="BK52" s="21">
        <f t="shared" si="43"/>
        <v>0</v>
      </c>
      <c r="BL52" s="21">
        <f t="shared" si="43"/>
        <v>0</v>
      </c>
      <c r="BM52" s="21">
        <f t="shared" si="43"/>
        <v>0</v>
      </c>
      <c r="BN52" s="21">
        <f t="shared" si="43"/>
        <v>0</v>
      </c>
      <c r="BO52" s="21">
        <f t="shared" si="43"/>
        <v>0</v>
      </c>
      <c r="BP52" s="21">
        <f t="shared" si="43"/>
        <v>0</v>
      </c>
      <c r="BQ52" s="21">
        <f t="shared" si="43"/>
        <v>0</v>
      </c>
      <c r="BR52" s="21">
        <f t="shared" si="43"/>
        <v>0</v>
      </c>
      <c r="BS52" s="21">
        <f t="shared" si="43"/>
        <v>0</v>
      </c>
      <c r="BT52" s="21">
        <f t="shared" si="43"/>
        <v>0</v>
      </c>
      <c r="BU52" s="21">
        <f t="shared" si="43"/>
        <v>0</v>
      </c>
      <c r="BV52" s="21">
        <f t="shared" si="43"/>
        <v>0</v>
      </c>
      <c r="BW52" s="21">
        <f t="shared" si="43"/>
        <v>0</v>
      </c>
      <c r="BX52" s="21">
        <f t="shared" si="44"/>
        <v>0</v>
      </c>
      <c r="BY52" s="21">
        <f t="shared" si="44"/>
        <v>12965562</v>
      </c>
      <c r="BZ52" s="21">
        <f t="shared" si="44"/>
        <v>0</v>
      </c>
      <c r="CA52" s="21">
        <f t="shared" si="44"/>
        <v>0</v>
      </c>
      <c r="CB52" s="21">
        <f t="shared" si="44"/>
        <v>0</v>
      </c>
      <c r="CC52" s="21">
        <f t="shared" si="44"/>
        <v>0</v>
      </c>
      <c r="CD52" s="21">
        <f t="shared" si="44"/>
        <v>0</v>
      </c>
      <c r="CE52" s="23">
        <f t="shared" si="6"/>
        <v>0.61724058333333331</v>
      </c>
      <c r="CF52" s="21">
        <f t="shared" si="45"/>
        <v>37034435</v>
      </c>
      <c r="CG52" s="21"/>
      <c r="CH52" s="21">
        <f>+'[12]Acuerdo PLAN INVERSIÓN 2021'!$H$657+'[6]Acuerdo PLAN INVERSIÓN 2021'!$H$1400+'[6]Acuerdo PLAN INVERSIÓN 2021'!$H$1403</f>
        <v>19999997</v>
      </c>
      <c r="CI52" s="21"/>
      <c r="CJ52" s="21"/>
      <c r="CK52" s="21"/>
      <c r="CL52" s="21"/>
      <c r="CM52" s="21"/>
      <c r="CN52" s="21"/>
      <c r="CO52" s="21"/>
      <c r="CP52" s="21"/>
      <c r="CQ52" s="21"/>
      <c r="CR52" s="21"/>
      <c r="CS52" s="21"/>
      <c r="CT52" s="21"/>
      <c r="CU52" s="21"/>
      <c r="CV52" s="21"/>
      <c r="CW52" s="21"/>
      <c r="CX52" s="21">
        <f>+'[2]Acuerdo PLAN INVERSIÓN 2021'!$H$2006+'[2]Acuerdo PLAN INVERSIÓN 2021'!$H$2009</f>
        <v>17034438</v>
      </c>
      <c r="CY52" s="21"/>
      <c r="CZ52" s="21"/>
      <c r="DA52" s="21"/>
      <c r="DB52" s="21"/>
      <c r="DC52" s="21"/>
      <c r="DD52" s="23">
        <f t="shared" si="8"/>
        <v>0.38275941666666669</v>
      </c>
      <c r="DE52" s="21">
        <f t="shared" si="46"/>
        <v>22965565</v>
      </c>
      <c r="DF52" s="21">
        <f t="shared" si="47"/>
        <v>0</v>
      </c>
      <c r="DG52" s="21">
        <f t="shared" si="47"/>
        <v>10000003</v>
      </c>
      <c r="DH52" s="21">
        <f t="shared" si="47"/>
        <v>0</v>
      </c>
      <c r="DI52" s="21">
        <f t="shared" si="47"/>
        <v>0</v>
      </c>
      <c r="DJ52" s="21">
        <f t="shared" si="47"/>
        <v>0</v>
      </c>
      <c r="DK52" s="21">
        <f t="shared" si="47"/>
        <v>0</v>
      </c>
      <c r="DL52" s="21">
        <f t="shared" si="47"/>
        <v>0</v>
      </c>
      <c r="DM52" s="21">
        <f t="shared" si="47"/>
        <v>0</v>
      </c>
      <c r="DN52" s="21">
        <f t="shared" si="47"/>
        <v>0</v>
      </c>
      <c r="DO52" s="21">
        <f t="shared" si="47"/>
        <v>0</v>
      </c>
      <c r="DP52" s="21">
        <f t="shared" si="47"/>
        <v>0</v>
      </c>
      <c r="DQ52" s="21">
        <f t="shared" si="47"/>
        <v>0</v>
      </c>
      <c r="DR52" s="21">
        <f t="shared" si="47"/>
        <v>0</v>
      </c>
      <c r="DS52" s="21">
        <f t="shared" si="47"/>
        <v>0</v>
      </c>
      <c r="DT52" s="21">
        <f t="shared" si="47"/>
        <v>0</v>
      </c>
      <c r="DU52" s="21">
        <f t="shared" si="47"/>
        <v>0</v>
      </c>
      <c r="DV52" s="21">
        <f t="shared" si="48"/>
        <v>0</v>
      </c>
      <c r="DW52" s="21">
        <f t="shared" si="48"/>
        <v>12965562</v>
      </c>
      <c r="DX52" s="21">
        <f t="shared" si="48"/>
        <v>0</v>
      </c>
      <c r="DY52" s="21">
        <f t="shared" si="48"/>
        <v>0</v>
      </c>
      <c r="DZ52" s="21">
        <f t="shared" si="48"/>
        <v>0</v>
      </c>
      <c r="EA52" s="21">
        <f t="shared" si="48"/>
        <v>0</v>
      </c>
      <c r="EB52" s="21">
        <f t="shared" si="48"/>
        <v>0</v>
      </c>
      <c r="ED52" s="27">
        <f t="shared" si="11"/>
        <v>60000000</v>
      </c>
      <c r="EE52" s="27">
        <f t="shared" si="15"/>
        <v>60000000</v>
      </c>
      <c r="EF52" s="27">
        <f t="shared" si="16"/>
        <v>60000000</v>
      </c>
    </row>
    <row r="53" spans="1:136" ht="21.6" customHeight="1" x14ac:dyDescent="0.3">
      <c r="A53" s="175"/>
      <c r="B53" s="172"/>
      <c r="C53" s="33" t="s">
        <v>180</v>
      </c>
      <c r="D53" s="29" t="s">
        <v>181</v>
      </c>
      <c r="E53" s="19">
        <v>520</v>
      </c>
      <c r="F53" s="20" t="s">
        <v>105</v>
      </c>
      <c r="G53" s="21">
        <f t="shared" si="40"/>
        <v>65000000</v>
      </c>
      <c r="H53" s="22">
        <v>55000000</v>
      </c>
      <c r="I53" s="22">
        <f t="shared" si="49"/>
        <v>-10000000</v>
      </c>
      <c r="J53" s="21"/>
      <c r="K53" s="21">
        <f>20000000+10000000-5000000</f>
        <v>25000000</v>
      </c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>
        <f>40000000</f>
        <v>40000000</v>
      </c>
      <c r="AB53" s="21"/>
      <c r="AC53" s="21"/>
      <c r="AD53" s="21"/>
      <c r="AE53" s="21"/>
      <c r="AF53" s="21"/>
      <c r="AG53" s="23">
        <f t="shared" si="1"/>
        <v>0.21538458461538462</v>
      </c>
      <c r="AH53" s="21">
        <f t="shared" si="41"/>
        <v>13999998</v>
      </c>
      <c r="AI53" s="21"/>
      <c r="AJ53" s="21">
        <f>+'[1]Acuerdo PLAN INVERSIÓN 2021'!$J$4287</f>
        <v>13999998</v>
      </c>
      <c r="AK53" s="21"/>
      <c r="AL53" s="21"/>
      <c r="AM53" s="21"/>
      <c r="AN53" s="21"/>
      <c r="AO53" s="21"/>
      <c r="AP53" s="21"/>
      <c r="AQ53" s="21"/>
      <c r="AR53" s="21"/>
      <c r="AS53" s="21"/>
      <c r="AT53" s="21"/>
      <c r="AU53" s="21"/>
      <c r="AV53" s="21"/>
      <c r="AW53" s="21"/>
      <c r="AX53" s="21"/>
      <c r="AY53" s="21"/>
      <c r="AZ53" s="21"/>
      <c r="BA53" s="21"/>
      <c r="BB53" s="21"/>
      <c r="BC53" s="21"/>
      <c r="BD53" s="21"/>
      <c r="BE53" s="21"/>
      <c r="BF53" s="23">
        <f t="shared" si="13"/>
        <v>0.78461541538461543</v>
      </c>
      <c r="BG53" s="21">
        <f t="shared" si="42"/>
        <v>51000002</v>
      </c>
      <c r="BH53" s="21">
        <f t="shared" si="43"/>
        <v>0</v>
      </c>
      <c r="BI53" s="21">
        <f t="shared" si="43"/>
        <v>11000002</v>
      </c>
      <c r="BJ53" s="21">
        <f t="shared" si="43"/>
        <v>0</v>
      </c>
      <c r="BK53" s="21">
        <f t="shared" si="43"/>
        <v>0</v>
      </c>
      <c r="BL53" s="21">
        <f t="shared" si="43"/>
        <v>0</v>
      </c>
      <c r="BM53" s="21">
        <f t="shared" si="43"/>
        <v>0</v>
      </c>
      <c r="BN53" s="21">
        <f t="shared" si="43"/>
        <v>0</v>
      </c>
      <c r="BO53" s="21">
        <f t="shared" si="43"/>
        <v>0</v>
      </c>
      <c r="BP53" s="21">
        <f t="shared" si="43"/>
        <v>0</v>
      </c>
      <c r="BQ53" s="21">
        <f t="shared" si="43"/>
        <v>0</v>
      </c>
      <c r="BR53" s="21">
        <f t="shared" si="43"/>
        <v>0</v>
      </c>
      <c r="BS53" s="21">
        <f t="shared" si="43"/>
        <v>0</v>
      </c>
      <c r="BT53" s="21">
        <f t="shared" si="43"/>
        <v>0</v>
      </c>
      <c r="BU53" s="21">
        <f t="shared" si="43"/>
        <v>0</v>
      </c>
      <c r="BV53" s="21">
        <f t="shared" si="43"/>
        <v>0</v>
      </c>
      <c r="BW53" s="21">
        <f t="shared" si="43"/>
        <v>0</v>
      </c>
      <c r="BX53" s="21">
        <f t="shared" si="44"/>
        <v>0</v>
      </c>
      <c r="BY53" s="21">
        <f t="shared" si="44"/>
        <v>40000000</v>
      </c>
      <c r="BZ53" s="21">
        <f t="shared" si="44"/>
        <v>0</v>
      </c>
      <c r="CA53" s="21">
        <f t="shared" si="44"/>
        <v>0</v>
      </c>
      <c r="CB53" s="21">
        <f t="shared" si="44"/>
        <v>0</v>
      </c>
      <c r="CC53" s="21">
        <f t="shared" si="44"/>
        <v>0</v>
      </c>
      <c r="CD53" s="21">
        <f t="shared" si="44"/>
        <v>0</v>
      </c>
      <c r="CE53" s="23">
        <f t="shared" si="6"/>
        <v>0.21538458461538462</v>
      </c>
      <c r="CF53" s="21">
        <f t="shared" si="45"/>
        <v>13999998</v>
      </c>
      <c r="CG53" s="21"/>
      <c r="CH53" s="21">
        <f>+'[8]Acuerdo PLAN INVERSIÓN 2021'!$H$3415</f>
        <v>13999998</v>
      </c>
      <c r="CI53" s="21"/>
      <c r="CJ53" s="21"/>
      <c r="CK53" s="21"/>
      <c r="CL53" s="21"/>
      <c r="CM53" s="21"/>
      <c r="CN53" s="21"/>
      <c r="CO53" s="21"/>
      <c r="CP53" s="21"/>
      <c r="CQ53" s="21"/>
      <c r="CR53" s="21"/>
      <c r="CS53" s="21"/>
      <c r="CT53" s="21"/>
      <c r="CU53" s="21"/>
      <c r="CV53" s="21"/>
      <c r="CW53" s="21"/>
      <c r="CX53" s="21"/>
      <c r="CY53" s="21"/>
      <c r="CZ53" s="21"/>
      <c r="DA53" s="21"/>
      <c r="DB53" s="21"/>
      <c r="DC53" s="21"/>
      <c r="DD53" s="23">
        <f t="shared" si="8"/>
        <v>0.78461541538461543</v>
      </c>
      <c r="DE53" s="21">
        <f t="shared" si="46"/>
        <v>51000002</v>
      </c>
      <c r="DF53" s="21">
        <f t="shared" si="47"/>
        <v>0</v>
      </c>
      <c r="DG53" s="21">
        <f t="shared" si="47"/>
        <v>11000002</v>
      </c>
      <c r="DH53" s="21">
        <f t="shared" si="47"/>
        <v>0</v>
      </c>
      <c r="DI53" s="21">
        <f t="shared" si="47"/>
        <v>0</v>
      </c>
      <c r="DJ53" s="21">
        <f t="shared" si="47"/>
        <v>0</v>
      </c>
      <c r="DK53" s="21">
        <f t="shared" si="47"/>
        <v>0</v>
      </c>
      <c r="DL53" s="21">
        <f t="shared" si="47"/>
        <v>0</v>
      </c>
      <c r="DM53" s="21">
        <f t="shared" si="47"/>
        <v>0</v>
      </c>
      <c r="DN53" s="21">
        <f t="shared" si="47"/>
        <v>0</v>
      </c>
      <c r="DO53" s="21">
        <f t="shared" si="47"/>
        <v>0</v>
      </c>
      <c r="DP53" s="21">
        <f t="shared" si="47"/>
        <v>0</v>
      </c>
      <c r="DQ53" s="21">
        <f t="shared" si="47"/>
        <v>0</v>
      </c>
      <c r="DR53" s="21">
        <f t="shared" si="47"/>
        <v>0</v>
      </c>
      <c r="DS53" s="21">
        <f t="shared" si="47"/>
        <v>0</v>
      </c>
      <c r="DT53" s="21">
        <f t="shared" si="47"/>
        <v>0</v>
      </c>
      <c r="DU53" s="21">
        <f t="shared" si="47"/>
        <v>0</v>
      </c>
      <c r="DV53" s="21">
        <f t="shared" si="48"/>
        <v>0</v>
      </c>
      <c r="DW53" s="21">
        <f t="shared" si="48"/>
        <v>40000000</v>
      </c>
      <c r="DX53" s="21">
        <f t="shared" si="48"/>
        <v>0</v>
      </c>
      <c r="DY53" s="21">
        <f t="shared" si="48"/>
        <v>0</v>
      </c>
      <c r="DZ53" s="21">
        <f t="shared" si="48"/>
        <v>0</v>
      </c>
      <c r="EA53" s="21">
        <f t="shared" si="48"/>
        <v>0</v>
      </c>
      <c r="EB53" s="21">
        <f t="shared" si="48"/>
        <v>0</v>
      </c>
      <c r="ED53" s="27">
        <f t="shared" si="11"/>
        <v>65000000</v>
      </c>
      <c r="EE53" s="27">
        <f t="shared" si="15"/>
        <v>65000000</v>
      </c>
      <c r="EF53" s="27">
        <f t="shared" si="16"/>
        <v>65000000</v>
      </c>
    </row>
    <row r="54" spans="1:136" ht="46.5" customHeight="1" x14ac:dyDescent="0.3">
      <c r="A54" s="175"/>
      <c r="B54" s="173"/>
      <c r="C54" s="34" t="s">
        <v>182</v>
      </c>
      <c r="D54" s="29" t="s">
        <v>183</v>
      </c>
      <c r="E54" s="30">
        <v>520</v>
      </c>
      <c r="F54" s="20" t="s">
        <v>184</v>
      </c>
      <c r="G54" s="21">
        <f t="shared" si="40"/>
        <v>88408777</v>
      </c>
      <c r="H54" s="22">
        <v>345000000</v>
      </c>
      <c r="I54" s="22">
        <f t="shared" si="49"/>
        <v>256591223</v>
      </c>
      <c r="J54" s="21"/>
      <c r="K54" s="21">
        <f>20000000+10000000</f>
        <v>30000000</v>
      </c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>
        <f>20000000</f>
        <v>20000000</v>
      </c>
      <c r="AB54" s="21"/>
      <c r="AC54" s="21"/>
      <c r="AD54" s="21"/>
      <c r="AE54" s="21"/>
      <c r="AF54" s="21">
        <f>32208777+1000000-10800000+4000000-10800000+12000000+10800000</f>
        <v>38408777</v>
      </c>
      <c r="AG54" s="23">
        <f t="shared" si="1"/>
        <v>0.36696070346047205</v>
      </c>
      <c r="AH54" s="21">
        <f t="shared" si="41"/>
        <v>32442547</v>
      </c>
      <c r="AI54" s="21"/>
      <c r="AJ54" s="21">
        <f>+'[1]Acuerdo PLAN INVERSIÓN 2021'!$J$4306</f>
        <v>16370983</v>
      </c>
      <c r="AK54" s="21"/>
      <c r="AL54" s="21"/>
      <c r="AM54" s="21"/>
      <c r="AN54" s="21"/>
      <c r="AO54" s="21"/>
      <c r="AP54" s="21"/>
      <c r="AQ54" s="21"/>
      <c r="AR54" s="21"/>
      <c r="AS54" s="21"/>
      <c r="AT54" s="21"/>
      <c r="AU54" s="21"/>
      <c r="AV54" s="21"/>
      <c r="AW54" s="21"/>
      <c r="AX54" s="21"/>
      <c r="AY54" s="21"/>
      <c r="AZ54" s="21"/>
      <c r="BA54" s="21"/>
      <c r="BB54" s="21"/>
      <c r="BC54" s="21"/>
      <c r="BD54" s="21"/>
      <c r="BE54" s="21">
        <f>+'[1]Acuerdo PLAN INVERSIÓN 2021'!$AF$4306</f>
        <v>16071564</v>
      </c>
      <c r="BF54" s="23">
        <f t="shared" si="13"/>
        <v>0.63303929653952795</v>
      </c>
      <c r="BG54" s="21">
        <f t="shared" si="42"/>
        <v>55966230</v>
      </c>
      <c r="BH54" s="21">
        <f t="shared" si="43"/>
        <v>0</v>
      </c>
      <c r="BI54" s="21">
        <f t="shared" si="43"/>
        <v>13629017</v>
      </c>
      <c r="BJ54" s="21">
        <f t="shared" si="43"/>
        <v>0</v>
      </c>
      <c r="BK54" s="21">
        <f t="shared" si="43"/>
        <v>0</v>
      </c>
      <c r="BL54" s="21">
        <f t="shared" si="43"/>
        <v>0</v>
      </c>
      <c r="BM54" s="21">
        <f t="shared" si="43"/>
        <v>0</v>
      </c>
      <c r="BN54" s="21">
        <f t="shared" si="43"/>
        <v>0</v>
      </c>
      <c r="BO54" s="21">
        <f t="shared" si="43"/>
        <v>0</v>
      </c>
      <c r="BP54" s="21">
        <f t="shared" si="43"/>
        <v>0</v>
      </c>
      <c r="BQ54" s="21">
        <f t="shared" si="43"/>
        <v>0</v>
      </c>
      <c r="BR54" s="21">
        <f t="shared" si="43"/>
        <v>0</v>
      </c>
      <c r="BS54" s="21">
        <f t="shared" si="43"/>
        <v>0</v>
      </c>
      <c r="BT54" s="21">
        <f t="shared" si="43"/>
        <v>0</v>
      </c>
      <c r="BU54" s="21">
        <f t="shared" si="43"/>
        <v>0</v>
      </c>
      <c r="BV54" s="21">
        <f t="shared" si="43"/>
        <v>0</v>
      </c>
      <c r="BW54" s="21">
        <f t="shared" si="43"/>
        <v>0</v>
      </c>
      <c r="BX54" s="21">
        <f t="shared" si="44"/>
        <v>0</v>
      </c>
      <c r="BY54" s="21">
        <f t="shared" si="44"/>
        <v>20000000</v>
      </c>
      <c r="BZ54" s="21">
        <f t="shared" si="44"/>
        <v>0</v>
      </c>
      <c r="CA54" s="21">
        <f t="shared" si="44"/>
        <v>0</v>
      </c>
      <c r="CB54" s="21">
        <f t="shared" si="44"/>
        <v>0</v>
      </c>
      <c r="CC54" s="21">
        <f t="shared" si="44"/>
        <v>0</v>
      </c>
      <c r="CD54" s="21">
        <f t="shared" si="44"/>
        <v>22337213</v>
      </c>
      <c r="CE54" s="23">
        <f t="shared" si="6"/>
        <v>0.36696070346047205</v>
      </c>
      <c r="CF54" s="21">
        <f>SUM(CG54:DC54)</f>
        <v>32442547</v>
      </c>
      <c r="CG54" s="21"/>
      <c r="CH54" s="21">
        <f>+'[1]Acuerdo PLAN INVERSIÓN 2021'!$J$4306</f>
        <v>16370983</v>
      </c>
      <c r="CI54" s="21"/>
      <c r="CJ54" s="21"/>
      <c r="CK54" s="21"/>
      <c r="CL54" s="21"/>
      <c r="CM54" s="21"/>
      <c r="CN54" s="21"/>
      <c r="CO54" s="21"/>
      <c r="CP54" s="21"/>
      <c r="CQ54" s="21"/>
      <c r="CR54" s="21"/>
      <c r="CS54" s="21"/>
      <c r="CT54" s="21"/>
      <c r="CU54" s="21"/>
      <c r="CV54" s="21"/>
      <c r="CW54" s="21"/>
      <c r="CX54" s="21"/>
      <c r="CY54" s="21"/>
      <c r="CZ54" s="21"/>
      <c r="DA54" s="21"/>
      <c r="DB54" s="21"/>
      <c r="DC54" s="21">
        <f>+'[1]Acuerdo PLAN INVERSIÓN 2021'!$AF$4306</f>
        <v>16071564</v>
      </c>
      <c r="DD54" s="23">
        <f t="shared" si="8"/>
        <v>0.63303929653952795</v>
      </c>
      <c r="DE54" s="21">
        <f t="shared" si="46"/>
        <v>55966230</v>
      </c>
      <c r="DF54" s="21">
        <f t="shared" si="47"/>
        <v>0</v>
      </c>
      <c r="DG54" s="21">
        <f t="shared" si="47"/>
        <v>13629017</v>
      </c>
      <c r="DH54" s="21">
        <f t="shared" si="47"/>
        <v>0</v>
      </c>
      <c r="DI54" s="21">
        <f t="shared" si="47"/>
        <v>0</v>
      </c>
      <c r="DJ54" s="21">
        <f t="shared" si="47"/>
        <v>0</v>
      </c>
      <c r="DK54" s="21">
        <f t="shared" si="47"/>
        <v>0</v>
      </c>
      <c r="DL54" s="21">
        <f t="shared" si="47"/>
        <v>0</v>
      </c>
      <c r="DM54" s="21">
        <f t="shared" si="47"/>
        <v>0</v>
      </c>
      <c r="DN54" s="21">
        <f t="shared" si="47"/>
        <v>0</v>
      </c>
      <c r="DO54" s="21">
        <f t="shared" si="47"/>
        <v>0</v>
      </c>
      <c r="DP54" s="21">
        <f t="shared" si="47"/>
        <v>0</v>
      </c>
      <c r="DQ54" s="21">
        <f t="shared" si="47"/>
        <v>0</v>
      </c>
      <c r="DR54" s="21">
        <f t="shared" si="47"/>
        <v>0</v>
      </c>
      <c r="DS54" s="21">
        <f t="shared" si="47"/>
        <v>0</v>
      </c>
      <c r="DT54" s="21">
        <f t="shared" si="47"/>
        <v>0</v>
      </c>
      <c r="DU54" s="21">
        <f t="shared" si="47"/>
        <v>0</v>
      </c>
      <c r="DV54" s="21">
        <f t="shared" si="48"/>
        <v>0</v>
      </c>
      <c r="DW54" s="21">
        <f t="shared" si="48"/>
        <v>20000000</v>
      </c>
      <c r="DX54" s="21">
        <f t="shared" si="48"/>
        <v>0</v>
      </c>
      <c r="DY54" s="21">
        <f t="shared" si="48"/>
        <v>0</v>
      </c>
      <c r="DZ54" s="21">
        <f t="shared" si="48"/>
        <v>0</v>
      </c>
      <c r="EA54" s="21">
        <f t="shared" si="48"/>
        <v>0</v>
      </c>
      <c r="EB54" s="21">
        <f t="shared" si="48"/>
        <v>22337213</v>
      </c>
      <c r="ED54" s="27">
        <f t="shared" si="11"/>
        <v>88408777</v>
      </c>
      <c r="EE54" s="27">
        <f t="shared" si="15"/>
        <v>88408777</v>
      </c>
      <c r="EF54" s="27">
        <f t="shared" si="16"/>
        <v>88408777</v>
      </c>
    </row>
    <row r="55" spans="1:136" ht="34.5" customHeight="1" x14ac:dyDescent="0.3">
      <c r="A55" s="175"/>
      <c r="B55" s="171" t="s">
        <v>185</v>
      </c>
      <c r="C55" s="34" t="s">
        <v>186</v>
      </c>
      <c r="D55" s="29" t="s">
        <v>187</v>
      </c>
      <c r="E55" s="19">
        <v>520</v>
      </c>
      <c r="F55" s="20" t="s">
        <v>153</v>
      </c>
      <c r="G55" s="21">
        <f t="shared" si="40"/>
        <v>157113664</v>
      </c>
      <c r="H55" s="22">
        <f>381000000+25000000</f>
        <v>406000000</v>
      </c>
      <c r="I55" s="22">
        <f t="shared" si="49"/>
        <v>248886336</v>
      </c>
      <c r="J55" s="21"/>
      <c r="K55" s="21">
        <f>90000000+10000000</f>
        <v>100000000</v>
      </c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>
        <f>20000000</f>
        <v>20000000</v>
      </c>
      <c r="AB55" s="21">
        <f>15000000</f>
        <v>15000000</v>
      </c>
      <c r="AC55" s="21"/>
      <c r="AD55" s="21"/>
      <c r="AE55" s="21"/>
      <c r="AF55" s="21">
        <f>22113664</f>
        <v>22113664</v>
      </c>
      <c r="AG55" s="23">
        <f t="shared" si="1"/>
        <v>0.98099752800622098</v>
      </c>
      <c r="AH55" s="21">
        <f t="shared" si="41"/>
        <v>154128116</v>
      </c>
      <c r="AI55" s="21"/>
      <c r="AJ55" s="21">
        <f>+'[1]Acuerdo PLAN INVERSIÓN 2021'!$J$4384</f>
        <v>98354787</v>
      </c>
      <c r="AK55" s="21"/>
      <c r="AL55" s="21"/>
      <c r="AM55" s="21"/>
      <c r="AN55" s="21"/>
      <c r="AO55" s="21"/>
      <c r="AP55" s="21"/>
      <c r="AQ55" s="21"/>
      <c r="AR55" s="21"/>
      <c r="AS55" s="21"/>
      <c r="AT55" s="21"/>
      <c r="AU55" s="21"/>
      <c r="AV55" s="21"/>
      <c r="AW55" s="21"/>
      <c r="AX55" s="21"/>
      <c r="AY55" s="21"/>
      <c r="AZ55" s="21">
        <f>+'[1]Acuerdo PLAN INVERSIÓN 2021'!$X$4384</f>
        <v>19123330</v>
      </c>
      <c r="BA55" s="21">
        <f>+'[1]Acuerdo PLAN INVERSIÓN 2021'!$Y$4384</f>
        <v>14999999</v>
      </c>
      <c r="BB55" s="21"/>
      <c r="BC55" s="21"/>
      <c r="BD55" s="21"/>
      <c r="BE55" s="21">
        <f>+'[1]Acuerdo PLAN INVERSIÓN 2021'!$AF$4384</f>
        <v>21650000</v>
      </c>
      <c r="BF55" s="23">
        <f t="shared" si="13"/>
        <v>1.9002471993779024E-2</v>
      </c>
      <c r="BG55" s="21">
        <f t="shared" si="42"/>
        <v>2985548</v>
      </c>
      <c r="BH55" s="21">
        <f t="shared" si="43"/>
        <v>0</v>
      </c>
      <c r="BI55" s="21">
        <f t="shared" si="43"/>
        <v>1645213</v>
      </c>
      <c r="BJ55" s="21">
        <f t="shared" si="43"/>
        <v>0</v>
      </c>
      <c r="BK55" s="21">
        <f t="shared" si="43"/>
        <v>0</v>
      </c>
      <c r="BL55" s="21">
        <f t="shared" si="43"/>
        <v>0</v>
      </c>
      <c r="BM55" s="21">
        <f t="shared" si="43"/>
        <v>0</v>
      </c>
      <c r="BN55" s="21">
        <f t="shared" si="43"/>
        <v>0</v>
      </c>
      <c r="BO55" s="21">
        <f t="shared" si="43"/>
        <v>0</v>
      </c>
      <c r="BP55" s="21">
        <f t="shared" si="43"/>
        <v>0</v>
      </c>
      <c r="BQ55" s="21">
        <f t="shared" si="43"/>
        <v>0</v>
      </c>
      <c r="BR55" s="21">
        <f t="shared" si="43"/>
        <v>0</v>
      </c>
      <c r="BS55" s="21">
        <f t="shared" si="43"/>
        <v>0</v>
      </c>
      <c r="BT55" s="21">
        <f t="shared" si="43"/>
        <v>0</v>
      </c>
      <c r="BU55" s="21">
        <f t="shared" si="43"/>
        <v>0</v>
      </c>
      <c r="BV55" s="21">
        <f t="shared" si="43"/>
        <v>0</v>
      </c>
      <c r="BW55" s="21">
        <f t="shared" si="43"/>
        <v>0</v>
      </c>
      <c r="BX55" s="21">
        <f t="shared" si="44"/>
        <v>0</v>
      </c>
      <c r="BY55" s="21">
        <f t="shared" si="44"/>
        <v>876670</v>
      </c>
      <c r="BZ55" s="21">
        <f t="shared" si="44"/>
        <v>1</v>
      </c>
      <c r="CA55" s="21">
        <f t="shared" si="44"/>
        <v>0</v>
      </c>
      <c r="CB55" s="21">
        <f t="shared" si="44"/>
        <v>0</v>
      </c>
      <c r="CC55" s="21">
        <f t="shared" si="44"/>
        <v>0</v>
      </c>
      <c r="CD55" s="21">
        <f t="shared" si="44"/>
        <v>463664</v>
      </c>
      <c r="CE55" s="23">
        <f t="shared" si="6"/>
        <v>0.98099752800622098</v>
      </c>
      <c r="CF55" s="21">
        <f t="shared" si="45"/>
        <v>154128116</v>
      </c>
      <c r="CG55" s="21"/>
      <c r="CH55" s="21">
        <f>+'[1]Acuerdo PLAN INVERSIÓN 2021'!$J$4384</f>
        <v>98354787</v>
      </c>
      <c r="CI55" s="21"/>
      <c r="CJ55" s="21"/>
      <c r="CK55" s="21"/>
      <c r="CL55" s="21"/>
      <c r="CM55" s="21"/>
      <c r="CN55" s="21"/>
      <c r="CO55" s="21"/>
      <c r="CP55" s="21"/>
      <c r="CQ55" s="21"/>
      <c r="CR55" s="21"/>
      <c r="CS55" s="21"/>
      <c r="CT55" s="21"/>
      <c r="CU55" s="21"/>
      <c r="CV55" s="21"/>
      <c r="CW55" s="21"/>
      <c r="CX55" s="21">
        <f>+'[1]Acuerdo PLAN INVERSIÓN 2021'!$X$4384</f>
        <v>19123330</v>
      </c>
      <c r="CY55" s="21">
        <f>+'[1]Acuerdo PLAN INVERSIÓN 2021'!$Y$4384</f>
        <v>14999999</v>
      </c>
      <c r="CZ55" s="21"/>
      <c r="DA55" s="21"/>
      <c r="DB55" s="21"/>
      <c r="DC55" s="21">
        <f>+'[1]Acuerdo PLAN INVERSIÓN 2021'!$AF$4384</f>
        <v>21650000</v>
      </c>
      <c r="DD55" s="23">
        <f t="shared" si="8"/>
        <v>1.9002471993779024E-2</v>
      </c>
      <c r="DE55" s="21">
        <f t="shared" si="46"/>
        <v>2985548</v>
      </c>
      <c r="DF55" s="21">
        <f t="shared" si="47"/>
        <v>0</v>
      </c>
      <c r="DG55" s="21">
        <f t="shared" si="47"/>
        <v>1645213</v>
      </c>
      <c r="DH55" s="21">
        <f t="shared" si="47"/>
        <v>0</v>
      </c>
      <c r="DI55" s="21">
        <f t="shared" si="47"/>
        <v>0</v>
      </c>
      <c r="DJ55" s="21">
        <f t="shared" si="47"/>
        <v>0</v>
      </c>
      <c r="DK55" s="21">
        <f t="shared" si="47"/>
        <v>0</v>
      </c>
      <c r="DL55" s="21">
        <f t="shared" si="47"/>
        <v>0</v>
      </c>
      <c r="DM55" s="21">
        <f t="shared" si="47"/>
        <v>0</v>
      </c>
      <c r="DN55" s="21">
        <f t="shared" si="47"/>
        <v>0</v>
      </c>
      <c r="DO55" s="21">
        <f t="shared" si="47"/>
        <v>0</v>
      </c>
      <c r="DP55" s="21">
        <f t="shared" si="47"/>
        <v>0</v>
      </c>
      <c r="DQ55" s="21">
        <f t="shared" si="47"/>
        <v>0</v>
      </c>
      <c r="DR55" s="21">
        <f t="shared" si="47"/>
        <v>0</v>
      </c>
      <c r="DS55" s="21">
        <f t="shared" si="47"/>
        <v>0</v>
      </c>
      <c r="DT55" s="21">
        <f t="shared" si="47"/>
        <v>0</v>
      </c>
      <c r="DU55" s="21">
        <f t="shared" si="47"/>
        <v>0</v>
      </c>
      <c r="DV55" s="21">
        <f t="shared" si="48"/>
        <v>0</v>
      </c>
      <c r="DW55" s="21">
        <f t="shared" si="48"/>
        <v>876670</v>
      </c>
      <c r="DX55" s="21">
        <f t="shared" si="48"/>
        <v>1</v>
      </c>
      <c r="DY55" s="21">
        <f t="shared" si="48"/>
        <v>0</v>
      </c>
      <c r="DZ55" s="21">
        <f t="shared" si="48"/>
        <v>0</v>
      </c>
      <c r="EA55" s="21">
        <f t="shared" si="48"/>
        <v>0</v>
      </c>
      <c r="EB55" s="21">
        <f t="shared" si="48"/>
        <v>463664</v>
      </c>
      <c r="ED55" s="27">
        <f t="shared" si="11"/>
        <v>157113664</v>
      </c>
      <c r="EE55" s="27">
        <f t="shared" si="15"/>
        <v>157113664</v>
      </c>
      <c r="EF55" s="27">
        <f t="shared" si="16"/>
        <v>157113664</v>
      </c>
    </row>
    <row r="56" spans="1:136" ht="23.25" customHeight="1" x14ac:dyDescent="0.3">
      <c r="A56" s="175"/>
      <c r="B56" s="172"/>
      <c r="C56" s="33" t="s">
        <v>188</v>
      </c>
      <c r="D56" s="18" t="s">
        <v>189</v>
      </c>
      <c r="E56" s="19">
        <v>520</v>
      </c>
      <c r="F56" s="20" t="s">
        <v>105</v>
      </c>
      <c r="G56" s="21">
        <f t="shared" si="40"/>
        <v>78500000</v>
      </c>
      <c r="H56" s="22">
        <v>144500000</v>
      </c>
      <c r="I56" s="22">
        <f t="shared" si="49"/>
        <v>66000000</v>
      </c>
      <c r="J56" s="21"/>
      <c r="K56" s="21">
        <f>30000000+20000000</f>
        <v>50000000</v>
      </c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>
        <f>20000000</f>
        <v>20000000</v>
      </c>
      <c r="AB56" s="21">
        <f>8500000</f>
        <v>8500000</v>
      </c>
      <c r="AC56" s="21"/>
      <c r="AD56" s="21"/>
      <c r="AE56" s="21"/>
      <c r="AF56" s="21"/>
      <c r="AG56" s="23">
        <f t="shared" si="1"/>
        <v>0.99245815286624206</v>
      </c>
      <c r="AH56" s="21">
        <f t="shared" si="41"/>
        <v>77907965</v>
      </c>
      <c r="AI56" s="21"/>
      <c r="AJ56" s="21">
        <f>+'[1]Acuerdo PLAN INVERSIÓN 2021'!$J$4451</f>
        <v>49999994</v>
      </c>
      <c r="AK56" s="21"/>
      <c r="AL56" s="21"/>
      <c r="AM56" s="21"/>
      <c r="AN56" s="21"/>
      <c r="AO56" s="21"/>
      <c r="AP56" s="21"/>
      <c r="AQ56" s="21"/>
      <c r="AR56" s="21"/>
      <c r="AS56" s="21"/>
      <c r="AT56" s="21"/>
      <c r="AU56" s="21"/>
      <c r="AV56" s="21"/>
      <c r="AW56" s="21"/>
      <c r="AX56" s="21"/>
      <c r="AY56" s="21"/>
      <c r="AZ56" s="21">
        <f>+'[1]Acuerdo PLAN INVERSIÓN 2021'!$X$4451</f>
        <v>19407971</v>
      </c>
      <c r="BA56" s="21">
        <f>+'[3]Acuerdo PLAN INVERSIÓN 2021'!$Y$2922</f>
        <v>8500000</v>
      </c>
      <c r="BB56" s="21"/>
      <c r="BC56" s="21"/>
      <c r="BD56" s="21"/>
      <c r="BE56" s="21"/>
      <c r="BF56" s="23">
        <f t="shared" si="13"/>
        <v>7.5418471337579396E-3</v>
      </c>
      <c r="BG56" s="21">
        <f t="shared" si="42"/>
        <v>592035</v>
      </c>
      <c r="BH56" s="21">
        <f t="shared" si="43"/>
        <v>0</v>
      </c>
      <c r="BI56" s="21">
        <f t="shared" si="43"/>
        <v>6</v>
      </c>
      <c r="BJ56" s="21">
        <f t="shared" si="43"/>
        <v>0</v>
      </c>
      <c r="BK56" s="21">
        <f t="shared" si="43"/>
        <v>0</v>
      </c>
      <c r="BL56" s="21">
        <f t="shared" si="43"/>
        <v>0</v>
      </c>
      <c r="BM56" s="21">
        <f t="shared" si="43"/>
        <v>0</v>
      </c>
      <c r="BN56" s="21">
        <f t="shared" si="43"/>
        <v>0</v>
      </c>
      <c r="BO56" s="21">
        <f t="shared" si="43"/>
        <v>0</v>
      </c>
      <c r="BP56" s="21">
        <f t="shared" si="43"/>
        <v>0</v>
      </c>
      <c r="BQ56" s="21">
        <f t="shared" si="43"/>
        <v>0</v>
      </c>
      <c r="BR56" s="21">
        <f t="shared" si="43"/>
        <v>0</v>
      </c>
      <c r="BS56" s="21">
        <f t="shared" si="43"/>
        <v>0</v>
      </c>
      <c r="BT56" s="21">
        <f t="shared" si="43"/>
        <v>0</v>
      </c>
      <c r="BU56" s="21">
        <f t="shared" si="43"/>
        <v>0</v>
      </c>
      <c r="BV56" s="21">
        <f t="shared" si="43"/>
        <v>0</v>
      </c>
      <c r="BW56" s="21">
        <f t="shared" si="43"/>
        <v>0</v>
      </c>
      <c r="BX56" s="21">
        <f t="shared" si="44"/>
        <v>0</v>
      </c>
      <c r="BY56" s="21">
        <f t="shared" si="44"/>
        <v>592029</v>
      </c>
      <c r="BZ56" s="21">
        <f t="shared" si="44"/>
        <v>0</v>
      </c>
      <c r="CA56" s="21">
        <f t="shared" si="44"/>
        <v>0</v>
      </c>
      <c r="CB56" s="21">
        <f t="shared" si="44"/>
        <v>0</v>
      </c>
      <c r="CC56" s="21">
        <f t="shared" si="44"/>
        <v>0</v>
      </c>
      <c r="CD56" s="21">
        <f t="shared" si="44"/>
        <v>0</v>
      </c>
      <c r="CE56" s="23">
        <f t="shared" si="6"/>
        <v>0.99245815286624206</v>
      </c>
      <c r="CF56" s="21">
        <f t="shared" si="45"/>
        <v>77907965</v>
      </c>
      <c r="CG56" s="21"/>
      <c r="CH56" s="21">
        <f>+'[1]Acuerdo PLAN INVERSIÓN 2021'!$J$4451</f>
        <v>49999994</v>
      </c>
      <c r="CI56" s="21"/>
      <c r="CJ56" s="21"/>
      <c r="CK56" s="21"/>
      <c r="CL56" s="21"/>
      <c r="CM56" s="21"/>
      <c r="CN56" s="21"/>
      <c r="CO56" s="21"/>
      <c r="CP56" s="21"/>
      <c r="CQ56" s="21"/>
      <c r="CR56" s="21"/>
      <c r="CS56" s="21"/>
      <c r="CT56" s="21"/>
      <c r="CU56" s="21"/>
      <c r="CV56" s="21"/>
      <c r="CW56" s="21"/>
      <c r="CX56" s="21">
        <f>+'[1]Acuerdo PLAN INVERSIÓN 2021'!$X$4451</f>
        <v>19407971</v>
      </c>
      <c r="CY56" s="21">
        <f>+'[3]Acuerdo PLAN INVERSIÓN 2021'!$Y$2922</f>
        <v>8500000</v>
      </c>
      <c r="CZ56" s="21"/>
      <c r="DA56" s="21"/>
      <c r="DB56" s="21"/>
      <c r="DC56" s="21"/>
      <c r="DD56" s="23">
        <f t="shared" si="8"/>
        <v>7.5418471337579396E-3</v>
      </c>
      <c r="DE56" s="21">
        <f t="shared" si="46"/>
        <v>592035</v>
      </c>
      <c r="DF56" s="21">
        <f t="shared" si="47"/>
        <v>0</v>
      </c>
      <c r="DG56" s="21">
        <f t="shared" si="47"/>
        <v>6</v>
      </c>
      <c r="DH56" s="21">
        <f t="shared" si="47"/>
        <v>0</v>
      </c>
      <c r="DI56" s="21">
        <f t="shared" si="47"/>
        <v>0</v>
      </c>
      <c r="DJ56" s="21">
        <f t="shared" si="47"/>
        <v>0</v>
      </c>
      <c r="DK56" s="21">
        <f t="shared" si="47"/>
        <v>0</v>
      </c>
      <c r="DL56" s="21">
        <f t="shared" si="47"/>
        <v>0</v>
      </c>
      <c r="DM56" s="21">
        <f t="shared" si="47"/>
        <v>0</v>
      </c>
      <c r="DN56" s="21">
        <f t="shared" si="47"/>
        <v>0</v>
      </c>
      <c r="DO56" s="21">
        <f t="shared" si="47"/>
        <v>0</v>
      </c>
      <c r="DP56" s="21">
        <f t="shared" si="47"/>
        <v>0</v>
      </c>
      <c r="DQ56" s="21">
        <f t="shared" si="47"/>
        <v>0</v>
      </c>
      <c r="DR56" s="21">
        <f t="shared" si="47"/>
        <v>0</v>
      </c>
      <c r="DS56" s="21">
        <f t="shared" si="47"/>
        <v>0</v>
      </c>
      <c r="DT56" s="21">
        <f t="shared" si="47"/>
        <v>0</v>
      </c>
      <c r="DU56" s="21">
        <f t="shared" si="47"/>
        <v>0</v>
      </c>
      <c r="DV56" s="21">
        <f t="shared" si="48"/>
        <v>0</v>
      </c>
      <c r="DW56" s="21">
        <f t="shared" si="48"/>
        <v>592029</v>
      </c>
      <c r="DX56" s="21">
        <f t="shared" si="48"/>
        <v>0</v>
      </c>
      <c r="DY56" s="21">
        <f t="shared" si="48"/>
        <v>0</v>
      </c>
      <c r="DZ56" s="21">
        <f t="shared" si="48"/>
        <v>0</v>
      </c>
      <c r="EA56" s="21">
        <f t="shared" si="48"/>
        <v>0</v>
      </c>
      <c r="EB56" s="21">
        <f t="shared" si="48"/>
        <v>0</v>
      </c>
      <c r="ED56" s="27">
        <f t="shared" si="11"/>
        <v>78500000</v>
      </c>
      <c r="EE56" s="27">
        <f t="shared" si="15"/>
        <v>78500000</v>
      </c>
      <c r="EF56" s="27">
        <f t="shared" si="16"/>
        <v>78500000</v>
      </c>
    </row>
    <row r="57" spans="1:136" ht="42.75" customHeight="1" x14ac:dyDescent="0.3">
      <c r="A57" s="175"/>
      <c r="B57" s="172"/>
      <c r="C57" s="33" t="s">
        <v>190</v>
      </c>
      <c r="D57" s="18" t="s">
        <v>191</v>
      </c>
      <c r="E57" s="19">
        <v>520</v>
      </c>
      <c r="F57" s="20" t="s">
        <v>105</v>
      </c>
      <c r="G57" s="21">
        <f t="shared" si="40"/>
        <v>25222055</v>
      </c>
      <c r="H57" s="22">
        <v>120606750</v>
      </c>
      <c r="I57" s="22">
        <f t="shared" si="49"/>
        <v>95384695</v>
      </c>
      <c r="J57" s="21"/>
      <c r="K57" s="21">
        <f>30000000-4777945</f>
        <v>25222055</v>
      </c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3">
        <f t="shared" si="1"/>
        <v>0.99712097210159922</v>
      </c>
      <c r="AH57" s="21">
        <f t="shared" si="41"/>
        <v>25149440</v>
      </c>
      <c r="AI57" s="21"/>
      <c r="AJ57" s="21">
        <f>+'[1]Acuerdo PLAN INVERSIÓN 2021'!$J$4481</f>
        <v>25149440</v>
      </c>
      <c r="AK57" s="21"/>
      <c r="AL57" s="21"/>
      <c r="AM57" s="21"/>
      <c r="AN57" s="21"/>
      <c r="AO57" s="21"/>
      <c r="AP57" s="21"/>
      <c r="AQ57" s="21"/>
      <c r="AR57" s="21"/>
      <c r="AS57" s="21"/>
      <c r="AT57" s="21"/>
      <c r="AU57" s="21"/>
      <c r="AV57" s="21"/>
      <c r="AW57" s="21"/>
      <c r="AX57" s="21"/>
      <c r="AY57" s="21"/>
      <c r="AZ57" s="21"/>
      <c r="BA57" s="21"/>
      <c r="BB57" s="21"/>
      <c r="BC57" s="21"/>
      <c r="BD57" s="21"/>
      <c r="BE57" s="21"/>
      <c r="BF57" s="23">
        <f t="shared" si="13"/>
        <v>2.8790278984007767E-3</v>
      </c>
      <c r="BG57" s="21">
        <f t="shared" si="42"/>
        <v>72615</v>
      </c>
      <c r="BH57" s="21">
        <f t="shared" si="43"/>
        <v>0</v>
      </c>
      <c r="BI57" s="21">
        <f t="shared" si="43"/>
        <v>72615</v>
      </c>
      <c r="BJ57" s="21">
        <f t="shared" si="43"/>
        <v>0</v>
      </c>
      <c r="BK57" s="21">
        <f t="shared" si="43"/>
        <v>0</v>
      </c>
      <c r="BL57" s="21">
        <f t="shared" si="43"/>
        <v>0</v>
      </c>
      <c r="BM57" s="21">
        <f t="shared" si="43"/>
        <v>0</v>
      </c>
      <c r="BN57" s="21">
        <f t="shared" si="43"/>
        <v>0</v>
      </c>
      <c r="BO57" s="21">
        <f t="shared" si="43"/>
        <v>0</v>
      </c>
      <c r="BP57" s="21">
        <f t="shared" si="43"/>
        <v>0</v>
      </c>
      <c r="BQ57" s="21">
        <f t="shared" si="43"/>
        <v>0</v>
      </c>
      <c r="BR57" s="21">
        <f t="shared" si="43"/>
        <v>0</v>
      </c>
      <c r="BS57" s="21">
        <f t="shared" si="43"/>
        <v>0</v>
      </c>
      <c r="BT57" s="21">
        <f t="shared" si="43"/>
        <v>0</v>
      </c>
      <c r="BU57" s="21">
        <f t="shared" si="43"/>
        <v>0</v>
      </c>
      <c r="BV57" s="21">
        <f t="shared" si="43"/>
        <v>0</v>
      </c>
      <c r="BW57" s="21">
        <f t="shared" si="43"/>
        <v>0</v>
      </c>
      <c r="BX57" s="21">
        <f t="shared" si="44"/>
        <v>0</v>
      </c>
      <c r="BY57" s="21">
        <f t="shared" si="44"/>
        <v>0</v>
      </c>
      <c r="BZ57" s="21">
        <f t="shared" si="44"/>
        <v>0</v>
      </c>
      <c r="CA57" s="21">
        <f t="shared" si="44"/>
        <v>0</v>
      </c>
      <c r="CB57" s="21">
        <f t="shared" si="44"/>
        <v>0</v>
      </c>
      <c r="CC57" s="21">
        <f t="shared" si="44"/>
        <v>0</v>
      </c>
      <c r="CD57" s="21">
        <f t="shared" si="44"/>
        <v>0</v>
      </c>
      <c r="CE57" s="23">
        <f t="shared" si="6"/>
        <v>0.99712097210159922</v>
      </c>
      <c r="CF57" s="21">
        <f t="shared" si="45"/>
        <v>25149440</v>
      </c>
      <c r="CG57" s="21"/>
      <c r="CH57" s="21">
        <f>+'[2]Acuerdo PLAN INVERSIÓN 2021'!$H$2129+'[2]Acuerdo PLAN INVERSIÓN 2021'!$H$2132</f>
        <v>25149440</v>
      </c>
      <c r="CI57" s="21"/>
      <c r="CJ57" s="21"/>
      <c r="CK57" s="21"/>
      <c r="CL57" s="21"/>
      <c r="CM57" s="21"/>
      <c r="CN57" s="21"/>
      <c r="CO57" s="21"/>
      <c r="CP57" s="21"/>
      <c r="CQ57" s="21"/>
      <c r="CR57" s="21"/>
      <c r="CS57" s="21"/>
      <c r="CT57" s="21"/>
      <c r="CU57" s="21"/>
      <c r="CV57" s="21"/>
      <c r="CW57" s="21"/>
      <c r="CX57" s="21"/>
      <c r="CY57" s="21"/>
      <c r="CZ57" s="21"/>
      <c r="DA57" s="21"/>
      <c r="DB57" s="21"/>
      <c r="DC57" s="21"/>
      <c r="DD57" s="23">
        <f t="shared" si="8"/>
        <v>2.8790278984007767E-3</v>
      </c>
      <c r="DE57" s="21">
        <f t="shared" si="46"/>
        <v>72615</v>
      </c>
      <c r="DF57" s="21">
        <f t="shared" si="47"/>
        <v>0</v>
      </c>
      <c r="DG57" s="21">
        <f t="shared" si="47"/>
        <v>72615</v>
      </c>
      <c r="DH57" s="21">
        <f t="shared" si="47"/>
        <v>0</v>
      </c>
      <c r="DI57" s="21">
        <f t="shared" si="47"/>
        <v>0</v>
      </c>
      <c r="DJ57" s="21">
        <f t="shared" si="47"/>
        <v>0</v>
      </c>
      <c r="DK57" s="21">
        <f t="shared" si="47"/>
        <v>0</v>
      </c>
      <c r="DL57" s="21">
        <f t="shared" si="47"/>
        <v>0</v>
      </c>
      <c r="DM57" s="21">
        <f t="shared" si="47"/>
        <v>0</v>
      </c>
      <c r="DN57" s="21">
        <f t="shared" si="47"/>
        <v>0</v>
      </c>
      <c r="DO57" s="21">
        <f t="shared" si="47"/>
        <v>0</v>
      </c>
      <c r="DP57" s="21">
        <f t="shared" si="47"/>
        <v>0</v>
      </c>
      <c r="DQ57" s="21">
        <f t="shared" si="47"/>
        <v>0</v>
      </c>
      <c r="DR57" s="21">
        <f t="shared" si="47"/>
        <v>0</v>
      </c>
      <c r="DS57" s="21">
        <f t="shared" si="47"/>
        <v>0</v>
      </c>
      <c r="DT57" s="21">
        <f t="shared" si="47"/>
        <v>0</v>
      </c>
      <c r="DU57" s="21">
        <f t="shared" si="47"/>
        <v>0</v>
      </c>
      <c r="DV57" s="21">
        <f t="shared" si="48"/>
        <v>0</v>
      </c>
      <c r="DW57" s="21">
        <f t="shared" si="48"/>
        <v>0</v>
      </c>
      <c r="DX57" s="21">
        <f t="shared" si="48"/>
        <v>0</v>
      </c>
      <c r="DY57" s="21">
        <f t="shared" si="48"/>
        <v>0</v>
      </c>
      <c r="DZ57" s="21">
        <f t="shared" si="48"/>
        <v>0</v>
      </c>
      <c r="EA57" s="21">
        <f t="shared" si="48"/>
        <v>0</v>
      </c>
      <c r="EB57" s="21">
        <f t="shared" si="48"/>
        <v>0</v>
      </c>
      <c r="ED57" s="27">
        <f t="shared" si="11"/>
        <v>25222055</v>
      </c>
      <c r="EE57" s="27">
        <f t="shared" si="15"/>
        <v>25222055</v>
      </c>
      <c r="EF57" s="27">
        <f t="shared" si="16"/>
        <v>25222055</v>
      </c>
    </row>
    <row r="58" spans="1:136" ht="35.4" customHeight="1" x14ac:dyDescent="0.3">
      <c r="A58" s="175"/>
      <c r="B58" s="172"/>
      <c r="C58" s="33" t="s">
        <v>192</v>
      </c>
      <c r="D58" s="18" t="s">
        <v>193</v>
      </c>
      <c r="E58" s="19">
        <v>520</v>
      </c>
      <c r="F58" s="20" t="s">
        <v>105</v>
      </c>
      <c r="G58" s="21">
        <f t="shared" si="40"/>
        <v>45000000</v>
      </c>
      <c r="H58" s="22">
        <v>57321000</v>
      </c>
      <c r="I58" s="22">
        <f t="shared" si="49"/>
        <v>12321000</v>
      </c>
      <c r="J58" s="21"/>
      <c r="K58" s="21">
        <f>20000000+15000000</f>
        <v>35000000</v>
      </c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>
        <f>10000000</f>
        <v>10000000</v>
      </c>
      <c r="AB58" s="21"/>
      <c r="AC58" s="21"/>
      <c r="AD58" s="21"/>
      <c r="AE58" s="21"/>
      <c r="AF58" s="21"/>
      <c r="AG58" s="23">
        <f t="shared" si="1"/>
        <v>0.97834746666666672</v>
      </c>
      <c r="AH58" s="21">
        <f t="shared" si="41"/>
        <v>44025636</v>
      </c>
      <c r="AI58" s="21"/>
      <c r="AJ58" s="21">
        <f>+'[1]Acuerdo PLAN INVERSIÓN 2021'!$J$4490</f>
        <v>34030584</v>
      </c>
      <c r="AK58" s="21"/>
      <c r="AL58" s="21"/>
      <c r="AM58" s="21"/>
      <c r="AN58" s="21"/>
      <c r="AO58" s="21"/>
      <c r="AP58" s="21"/>
      <c r="AQ58" s="21"/>
      <c r="AR58" s="21"/>
      <c r="AS58" s="21"/>
      <c r="AT58" s="21"/>
      <c r="AU58" s="21"/>
      <c r="AV58" s="21"/>
      <c r="AW58" s="21"/>
      <c r="AX58" s="21"/>
      <c r="AY58" s="21"/>
      <c r="AZ58" s="21">
        <f>+'[1]Acuerdo PLAN INVERSIÓN 2021'!$X$4490</f>
        <v>9995052</v>
      </c>
      <c r="BA58" s="21"/>
      <c r="BB58" s="21"/>
      <c r="BC58" s="21"/>
      <c r="BD58" s="21"/>
      <c r="BE58" s="21"/>
      <c r="BF58" s="23">
        <f t="shared" si="13"/>
        <v>2.1652533333333279E-2</v>
      </c>
      <c r="BG58" s="21">
        <f t="shared" si="42"/>
        <v>974364</v>
      </c>
      <c r="BH58" s="21">
        <f t="shared" si="43"/>
        <v>0</v>
      </c>
      <c r="BI58" s="21">
        <f t="shared" si="43"/>
        <v>969416</v>
      </c>
      <c r="BJ58" s="21">
        <f t="shared" si="43"/>
        <v>0</v>
      </c>
      <c r="BK58" s="21">
        <f t="shared" si="43"/>
        <v>0</v>
      </c>
      <c r="BL58" s="21">
        <f t="shared" si="43"/>
        <v>0</v>
      </c>
      <c r="BM58" s="21">
        <f t="shared" si="43"/>
        <v>0</v>
      </c>
      <c r="BN58" s="21">
        <f t="shared" si="43"/>
        <v>0</v>
      </c>
      <c r="BO58" s="21">
        <f t="shared" si="43"/>
        <v>0</v>
      </c>
      <c r="BP58" s="21">
        <f t="shared" si="43"/>
        <v>0</v>
      </c>
      <c r="BQ58" s="21">
        <f t="shared" si="43"/>
        <v>0</v>
      </c>
      <c r="BR58" s="21">
        <f t="shared" si="43"/>
        <v>0</v>
      </c>
      <c r="BS58" s="21">
        <f t="shared" si="43"/>
        <v>0</v>
      </c>
      <c r="BT58" s="21">
        <f t="shared" si="43"/>
        <v>0</v>
      </c>
      <c r="BU58" s="21">
        <f t="shared" si="43"/>
        <v>0</v>
      </c>
      <c r="BV58" s="21">
        <f t="shared" si="43"/>
        <v>0</v>
      </c>
      <c r="BW58" s="21">
        <f t="shared" si="43"/>
        <v>0</v>
      </c>
      <c r="BX58" s="21">
        <f t="shared" si="44"/>
        <v>0</v>
      </c>
      <c r="BY58" s="21">
        <f t="shared" si="44"/>
        <v>4948</v>
      </c>
      <c r="BZ58" s="21">
        <f t="shared" si="44"/>
        <v>0</v>
      </c>
      <c r="CA58" s="21">
        <f t="shared" si="44"/>
        <v>0</v>
      </c>
      <c r="CB58" s="21">
        <f t="shared" si="44"/>
        <v>0</v>
      </c>
      <c r="CC58" s="21">
        <f t="shared" si="44"/>
        <v>0</v>
      </c>
      <c r="CD58" s="21">
        <f t="shared" si="44"/>
        <v>0</v>
      </c>
      <c r="CE58" s="23">
        <f t="shared" si="6"/>
        <v>0.97834746666666672</v>
      </c>
      <c r="CF58" s="21">
        <f t="shared" si="45"/>
        <v>44025636</v>
      </c>
      <c r="CG58" s="21"/>
      <c r="CH58" s="21">
        <f>+'[2]Acuerdo PLAN INVERSIÓN 2021'!$H$2139+'[2]Acuerdo PLAN INVERSIÓN 2021'!$H$2148+'[2]Acuerdo PLAN INVERSIÓN 2021'!$H$2151+'[2]Acuerdo PLAN INVERSIÓN 2021'!$H$2157</f>
        <v>34030584</v>
      </c>
      <c r="CI58" s="21"/>
      <c r="CJ58" s="21"/>
      <c r="CK58" s="21"/>
      <c r="CL58" s="21"/>
      <c r="CM58" s="21"/>
      <c r="CN58" s="21"/>
      <c r="CO58" s="21"/>
      <c r="CP58" s="21"/>
      <c r="CQ58" s="21"/>
      <c r="CR58" s="21"/>
      <c r="CS58" s="21"/>
      <c r="CT58" s="21"/>
      <c r="CU58" s="21"/>
      <c r="CV58" s="21"/>
      <c r="CW58" s="21"/>
      <c r="CX58" s="21">
        <f>+'[2]Acuerdo PLAN INVERSIÓN 2021'!$H$2154</f>
        <v>9995052</v>
      </c>
      <c r="CY58" s="21"/>
      <c r="CZ58" s="21"/>
      <c r="DA58" s="21"/>
      <c r="DB58" s="21"/>
      <c r="DC58" s="21"/>
      <c r="DD58" s="23">
        <f t="shared" si="8"/>
        <v>2.1652533333333279E-2</v>
      </c>
      <c r="DE58" s="21">
        <f t="shared" si="46"/>
        <v>974364</v>
      </c>
      <c r="DF58" s="21">
        <f t="shared" si="47"/>
        <v>0</v>
      </c>
      <c r="DG58" s="21">
        <f t="shared" si="47"/>
        <v>969416</v>
      </c>
      <c r="DH58" s="21">
        <f t="shared" si="47"/>
        <v>0</v>
      </c>
      <c r="DI58" s="21">
        <f t="shared" si="47"/>
        <v>0</v>
      </c>
      <c r="DJ58" s="21">
        <f t="shared" si="47"/>
        <v>0</v>
      </c>
      <c r="DK58" s="21">
        <f t="shared" si="47"/>
        <v>0</v>
      </c>
      <c r="DL58" s="21">
        <f t="shared" si="47"/>
        <v>0</v>
      </c>
      <c r="DM58" s="21">
        <f t="shared" si="47"/>
        <v>0</v>
      </c>
      <c r="DN58" s="21">
        <f t="shared" si="47"/>
        <v>0</v>
      </c>
      <c r="DO58" s="21">
        <f t="shared" si="47"/>
        <v>0</v>
      </c>
      <c r="DP58" s="21">
        <f t="shared" si="47"/>
        <v>0</v>
      </c>
      <c r="DQ58" s="21">
        <f t="shared" si="47"/>
        <v>0</v>
      </c>
      <c r="DR58" s="21">
        <f t="shared" si="47"/>
        <v>0</v>
      </c>
      <c r="DS58" s="21">
        <f t="shared" si="47"/>
        <v>0</v>
      </c>
      <c r="DT58" s="21">
        <f t="shared" si="47"/>
        <v>0</v>
      </c>
      <c r="DU58" s="21">
        <f t="shared" si="47"/>
        <v>0</v>
      </c>
      <c r="DV58" s="21">
        <f t="shared" si="48"/>
        <v>0</v>
      </c>
      <c r="DW58" s="21">
        <f t="shared" si="48"/>
        <v>4948</v>
      </c>
      <c r="DX58" s="21">
        <f t="shared" si="48"/>
        <v>0</v>
      </c>
      <c r="DY58" s="21">
        <f t="shared" si="48"/>
        <v>0</v>
      </c>
      <c r="DZ58" s="21">
        <f t="shared" si="48"/>
        <v>0</v>
      </c>
      <c r="EA58" s="21">
        <f t="shared" si="48"/>
        <v>0</v>
      </c>
      <c r="EB58" s="21">
        <f t="shared" si="48"/>
        <v>0</v>
      </c>
      <c r="ED58" s="27">
        <f t="shared" si="11"/>
        <v>45000000</v>
      </c>
      <c r="EE58" s="27">
        <f t="shared" si="15"/>
        <v>45000000</v>
      </c>
      <c r="EF58" s="27">
        <f t="shared" si="16"/>
        <v>45000000</v>
      </c>
    </row>
    <row r="59" spans="1:136" ht="59.25" customHeight="1" x14ac:dyDescent="0.3">
      <c r="A59" s="175"/>
      <c r="B59" s="172"/>
      <c r="C59" s="33" t="s">
        <v>194</v>
      </c>
      <c r="D59" s="18" t="s">
        <v>195</v>
      </c>
      <c r="E59" s="19">
        <v>520</v>
      </c>
      <c r="F59" s="20" t="s">
        <v>105</v>
      </c>
      <c r="G59" s="21">
        <f t="shared" si="40"/>
        <v>14041500</v>
      </c>
      <c r="H59" s="22">
        <v>108432000</v>
      </c>
      <c r="I59" s="22">
        <f t="shared" si="49"/>
        <v>94390500</v>
      </c>
      <c r="J59" s="21"/>
      <c r="K59" s="21">
        <f>20000000-5958500</f>
        <v>14041500</v>
      </c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1"/>
      <c r="AC59" s="21"/>
      <c r="AD59" s="21"/>
      <c r="AE59" s="21"/>
      <c r="AF59" s="21"/>
      <c r="AG59" s="23">
        <f t="shared" si="1"/>
        <v>0.99999992878253752</v>
      </c>
      <c r="AH59" s="21">
        <f t="shared" si="41"/>
        <v>14041499</v>
      </c>
      <c r="AI59" s="21"/>
      <c r="AJ59" s="21">
        <f>+'[1]Acuerdo PLAN INVERSIÓN 2021'!$J$4515</f>
        <v>14041499</v>
      </c>
      <c r="AK59" s="21"/>
      <c r="AL59" s="21"/>
      <c r="AM59" s="21"/>
      <c r="AN59" s="21"/>
      <c r="AO59" s="21"/>
      <c r="AP59" s="21"/>
      <c r="AQ59" s="21"/>
      <c r="AR59" s="21"/>
      <c r="AS59" s="21"/>
      <c r="AT59" s="21"/>
      <c r="AU59" s="21"/>
      <c r="AV59" s="21"/>
      <c r="AW59" s="21"/>
      <c r="AX59" s="21"/>
      <c r="AY59" s="21"/>
      <c r="AZ59" s="21"/>
      <c r="BA59" s="21"/>
      <c r="BB59" s="21"/>
      <c r="BC59" s="21"/>
      <c r="BD59" s="21"/>
      <c r="BE59" s="21"/>
      <c r="BF59" s="23">
        <f t="shared" si="13"/>
        <v>7.1217462482842109E-8</v>
      </c>
      <c r="BG59" s="21">
        <f t="shared" si="42"/>
        <v>1</v>
      </c>
      <c r="BH59" s="21">
        <f t="shared" si="43"/>
        <v>0</v>
      </c>
      <c r="BI59" s="21">
        <f t="shared" si="43"/>
        <v>1</v>
      </c>
      <c r="BJ59" s="21">
        <f t="shared" si="43"/>
        <v>0</v>
      </c>
      <c r="BK59" s="21">
        <f t="shared" si="43"/>
        <v>0</v>
      </c>
      <c r="BL59" s="21">
        <f t="shared" si="43"/>
        <v>0</v>
      </c>
      <c r="BM59" s="21">
        <f t="shared" si="43"/>
        <v>0</v>
      </c>
      <c r="BN59" s="21">
        <f t="shared" si="43"/>
        <v>0</v>
      </c>
      <c r="BO59" s="21">
        <f t="shared" si="43"/>
        <v>0</v>
      </c>
      <c r="BP59" s="21">
        <f t="shared" si="43"/>
        <v>0</v>
      </c>
      <c r="BQ59" s="21">
        <f t="shared" si="43"/>
        <v>0</v>
      </c>
      <c r="BR59" s="21">
        <f t="shared" si="43"/>
        <v>0</v>
      </c>
      <c r="BS59" s="21">
        <f t="shared" si="43"/>
        <v>0</v>
      </c>
      <c r="BT59" s="21">
        <f t="shared" si="43"/>
        <v>0</v>
      </c>
      <c r="BU59" s="21">
        <f t="shared" si="43"/>
        <v>0</v>
      </c>
      <c r="BV59" s="21">
        <f t="shared" si="43"/>
        <v>0</v>
      </c>
      <c r="BW59" s="21">
        <f t="shared" si="43"/>
        <v>0</v>
      </c>
      <c r="BX59" s="21">
        <f t="shared" si="44"/>
        <v>0</v>
      </c>
      <c r="BY59" s="21">
        <f t="shared" si="44"/>
        <v>0</v>
      </c>
      <c r="BZ59" s="21">
        <f t="shared" si="44"/>
        <v>0</v>
      </c>
      <c r="CA59" s="21">
        <f t="shared" si="44"/>
        <v>0</v>
      </c>
      <c r="CB59" s="21">
        <f t="shared" si="44"/>
        <v>0</v>
      </c>
      <c r="CC59" s="21">
        <f t="shared" si="44"/>
        <v>0</v>
      </c>
      <c r="CD59" s="21">
        <f t="shared" si="44"/>
        <v>0</v>
      </c>
      <c r="CE59" s="23">
        <f t="shared" si="6"/>
        <v>0.99999992878253752</v>
      </c>
      <c r="CF59" s="21">
        <f t="shared" si="45"/>
        <v>14041499</v>
      </c>
      <c r="CG59" s="21"/>
      <c r="CH59" s="21">
        <f>+'[9]Acuerdo PLAN INVERSIÓN 2021'!$H$545</f>
        <v>14041499</v>
      </c>
      <c r="CI59" s="21"/>
      <c r="CJ59" s="21"/>
      <c r="CK59" s="21"/>
      <c r="CL59" s="21"/>
      <c r="CM59" s="21"/>
      <c r="CN59" s="21"/>
      <c r="CO59" s="21"/>
      <c r="CP59" s="21"/>
      <c r="CQ59" s="21"/>
      <c r="CR59" s="21"/>
      <c r="CS59" s="21"/>
      <c r="CT59" s="21"/>
      <c r="CU59" s="21"/>
      <c r="CV59" s="21"/>
      <c r="CW59" s="21"/>
      <c r="CX59" s="21"/>
      <c r="CY59" s="21"/>
      <c r="CZ59" s="21"/>
      <c r="DA59" s="21"/>
      <c r="DB59" s="21"/>
      <c r="DC59" s="21"/>
      <c r="DD59" s="23">
        <f t="shared" si="8"/>
        <v>7.1217462482842109E-8</v>
      </c>
      <c r="DE59" s="21">
        <f t="shared" si="46"/>
        <v>1</v>
      </c>
      <c r="DF59" s="21">
        <f t="shared" si="47"/>
        <v>0</v>
      </c>
      <c r="DG59" s="21">
        <f t="shared" si="47"/>
        <v>1</v>
      </c>
      <c r="DH59" s="21">
        <f t="shared" si="47"/>
        <v>0</v>
      </c>
      <c r="DI59" s="21">
        <f t="shared" si="47"/>
        <v>0</v>
      </c>
      <c r="DJ59" s="21">
        <f t="shared" si="47"/>
        <v>0</v>
      </c>
      <c r="DK59" s="21">
        <f t="shared" si="47"/>
        <v>0</v>
      </c>
      <c r="DL59" s="21">
        <f t="shared" si="47"/>
        <v>0</v>
      </c>
      <c r="DM59" s="21">
        <f t="shared" si="47"/>
        <v>0</v>
      </c>
      <c r="DN59" s="21">
        <f t="shared" si="47"/>
        <v>0</v>
      </c>
      <c r="DO59" s="21">
        <f t="shared" si="47"/>
        <v>0</v>
      </c>
      <c r="DP59" s="21">
        <f t="shared" si="47"/>
        <v>0</v>
      </c>
      <c r="DQ59" s="21">
        <f t="shared" si="47"/>
        <v>0</v>
      </c>
      <c r="DR59" s="21">
        <f t="shared" si="47"/>
        <v>0</v>
      </c>
      <c r="DS59" s="21">
        <f t="shared" si="47"/>
        <v>0</v>
      </c>
      <c r="DT59" s="21">
        <f t="shared" si="47"/>
        <v>0</v>
      </c>
      <c r="DU59" s="21">
        <f t="shared" si="47"/>
        <v>0</v>
      </c>
      <c r="DV59" s="21">
        <f t="shared" si="48"/>
        <v>0</v>
      </c>
      <c r="DW59" s="21">
        <f t="shared" si="48"/>
        <v>0</v>
      </c>
      <c r="DX59" s="21">
        <f t="shared" si="48"/>
        <v>0</v>
      </c>
      <c r="DY59" s="21">
        <f t="shared" si="48"/>
        <v>0</v>
      </c>
      <c r="DZ59" s="21">
        <f t="shared" si="48"/>
        <v>0</v>
      </c>
      <c r="EA59" s="21">
        <f t="shared" si="48"/>
        <v>0</v>
      </c>
      <c r="EB59" s="21">
        <f t="shared" si="48"/>
        <v>0</v>
      </c>
      <c r="ED59" s="27">
        <f t="shared" si="11"/>
        <v>14041500</v>
      </c>
      <c r="EE59" s="27">
        <f t="shared" si="15"/>
        <v>14041500</v>
      </c>
      <c r="EF59" s="27">
        <f t="shared" si="16"/>
        <v>14041500</v>
      </c>
    </row>
    <row r="60" spans="1:136" ht="23.25" customHeight="1" x14ac:dyDescent="0.3">
      <c r="A60" s="175"/>
      <c r="B60" s="172"/>
      <c r="C60" s="33" t="s">
        <v>196</v>
      </c>
      <c r="D60" s="18" t="s">
        <v>197</v>
      </c>
      <c r="E60" s="19">
        <v>520</v>
      </c>
      <c r="F60" s="20" t="s">
        <v>105</v>
      </c>
      <c r="G60" s="21">
        <f t="shared" si="40"/>
        <v>70000000</v>
      </c>
      <c r="H60" s="22">
        <v>85000000</v>
      </c>
      <c r="I60" s="22">
        <f t="shared" si="49"/>
        <v>15000000</v>
      </c>
      <c r="J60" s="21"/>
      <c r="K60" s="21">
        <f>30000000+10000000</f>
        <v>40000000</v>
      </c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  <c r="AA60" s="21">
        <f>10000000</f>
        <v>10000000</v>
      </c>
      <c r="AB60" s="21">
        <f>20000000</f>
        <v>20000000</v>
      </c>
      <c r="AC60" s="21"/>
      <c r="AD60" s="21"/>
      <c r="AE60" s="21"/>
      <c r="AF60" s="21"/>
      <c r="AG60" s="23">
        <f t="shared" si="1"/>
        <v>0.86602494285714282</v>
      </c>
      <c r="AH60" s="21">
        <f t="shared" si="41"/>
        <v>60621746</v>
      </c>
      <c r="AI60" s="21"/>
      <c r="AJ60" s="21">
        <f>+'[1]Acuerdo PLAN INVERSIÓN 2021'!$J$4521</f>
        <v>39875662</v>
      </c>
      <c r="AK60" s="21"/>
      <c r="AL60" s="21"/>
      <c r="AM60" s="21"/>
      <c r="AN60" s="21"/>
      <c r="AO60" s="21"/>
      <c r="AP60" s="21"/>
      <c r="AQ60" s="21"/>
      <c r="AR60" s="21"/>
      <c r="AS60" s="21"/>
      <c r="AT60" s="21"/>
      <c r="AU60" s="21"/>
      <c r="AV60" s="21"/>
      <c r="AW60" s="21"/>
      <c r="AX60" s="21"/>
      <c r="AY60" s="21"/>
      <c r="AZ60" s="21">
        <f>+'[1]Acuerdo PLAN INVERSIÓN 2021'!$X$4521</f>
        <v>4999999</v>
      </c>
      <c r="BA60" s="21">
        <f>+'[1]Acuerdo PLAN INVERSIÓN 2021'!$Y$4521</f>
        <v>15746085</v>
      </c>
      <c r="BB60" s="21"/>
      <c r="BC60" s="21"/>
      <c r="BD60" s="21"/>
      <c r="BE60" s="21"/>
      <c r="BF60" s="23">
        <f t="shared" si="13"/>
        <v>0.13397505714285718</v>
      </c>
      <c r="BG60" s="21">
        <f t="shared" si="42"/>
        <v>9378254</v>
      </c>
      <c r="BH60" s="21">
        <f t="shared" si="43"/>
        <v>0</v>
      </c>
      <c r="BI60" s="21">
        <f t="shared" si="43"/>
        <v>124338</v>
      </c>
      <c r="BJ60" s="21">
        <f t="shared" si="43"/>
        <v>0</v>
      </c>
      <c r="BK60" s="21">
        <f t="shared" si="43"/>
        <v>0</v>
      </c>
      <c r="BL60" s="21">
        <f t="shared" si="43"/>
        <v>0</v>
      </c>
      <c r="BM60" s="21">
        <f t="shared" si="43"/>
        <v>0</v>
      </c>
      <c r="BN60" s="21">
        <f t="shared" si="43"/>
        <v>0</v>
      </c>
      <c r="BO60" s="21">
        <f t="shared" si="43"/>
        <v>0</v>
      </c>
      <c r="BP60" s="21">
        <f t="shared" si="43"/>
        <v>0</v>
      </c>
      <c r="BQ60" s="21">
        <f t="shared" si="43"/>
        <v>0</v>
      </c>
      <c r="BR60" s="21">
        <f t="shared" si="43"/>
        <v>0</v>
      </c>
      <c r="BS60" s="21">
        <f t="shared" si="43"/>
        <v>0</v>
      </c>
      <c r="BT60" s="21">
        <f t="shared" si="43"/>
        <v>0</v>
      </c>
      <c r="BU60" s="21">
        <f t="shared" si="43"/>
        <v>0</v>
      </c>
      <c r="BV60" s="21">
        <f t="shared" si="43"/>
        <v>0</v>
      </c>
      <c r="BW60" s="21">
        <f t="shared" si="43"/>
        <v>0</v>
      </c>
      <c r="BX60" s="21">
        <f t="shared" si="44"/>
        <v>0</v>
      </c>
      <c r="BY60" s="21">
        <f t="shared" si="44"/>
        <v>5000001</v>
      </c>
      <c r="BZ60" s="21">
        <f t="shared" si="44"/>
        <v>4253915</v>
      </c>
      <c r="CA60" s="21">
        <f t="shared" si="44"/>
        <v>0</v>
      </c>
      <c r="CB60" s="21">
        <f t="shared" si="44"/>
        <v>0</v>
      </c>
      <c r="CC60" s="21">
        <f t="shared" si="44"/>
        <v>0</v>
      </c>
      <c r="CD60" s="21">
        <f t="shared" si="44"/>
        <v>0</v>
      </c>
      <c r="CE60" s="23">
        <f t="shared" si="6"/>
        <v>0.86602494285714282</v>
      </c>
      <c r="CF60" s="21">
        <f t="shared" si="45"/>
        <v>60621746</v>
      </c>
      <c r="CG60" s="21"/>
      <c r="CH60" s="21">
        <f>+'[1]Acuerdo PLAN INVERSIÓN 2021'!$J$4521</f>
        <v>39875662</v>
      </c>
      <c r="CI60" s="21"/>
      <c r="CJ60" s="21"/>
      <c r="CK60" s="21"/>
      <c r="CL60" s="21"/>
      <c r="CM60" s="21"/>
      <c r="CN60" s="21"/>
      <c r="CO60" s="21"/>
      <c r="CP60" s="21"/>
      <c r="CQ60" s="21"/>
      <c r="CR60" s="21"/>
      <c r="CS60" s="21"/>
      <c r="CT60" s="21"/>
      <c r="CU60" s="21"/>
      <c r="CV60" s="21"/>
      <c r="CW60" s="21"/>
      <c r="CX60" s="21">
        <f>+'[1]Acuerdo PLAN INVERSIÓN 2021'!$X$4521</f>
        <v>4999999</v>
      </c>
      <c r="CY60" s="21">
        <f>+'[1]Acuerdo PLAN INVERSIÓN 2021'!$Y$4521</f>
        <v>15746085</v>
      </c>
      <c r="CZ60" s="21"/>
      <c r="DA60" s="21"/>
      <c r="DB60" s="21"/>
      <c r="DC60" s="21"/>
      <c r="DD60" s="23">
        <f t="shared" si="8"/>
        <v>0.13397505714285718</v>
      </c>
      <c r="DE60" s="21">
        <f t="shared" si="46"/>
        <v>9378254</v>
      </c>
      <c r="DF60" s="21">
        <f t="shared" si="47"/>
        <v>0</v>
      </c>
      <c r="DG60" s="21">
        <f t="shared" si="47"/>
        <v>124338</v>
      </c>
      <c r="DH60" s="21">
        <f t="shared" si="47"/>
        <v>0</v>
      </c>
      <c r="DI60" s="21">
        <f t="shared" si="47"/>
        <v>0</v>
      </c>
      <c r="DJ60" s="21">
        <f t="shared" si="47"/>
        <v>0</v>
      </c>
      <c r="DK60" s="21">
        <f t="shared" si="47"/>
        <v>0</v>
      </c>
      <c r="DL60" s="21">
        <f t="shared" si="47"/>
        <v>0</v>
      </c>
      <c r="DM60" s="21">
        <f t="shared" si="47"/>
        <v>0</v>
      </c>
      <c r="DN60" s="21">
        <f t="shared" si="47"/>
        <v>0</v>
      </c>
      <c r="DO60" s="21">
        <f t="shared" si="47"/>
        <v>0</v>
      </c>
      <c r="DP60" s="21">
        <f t="shared" si="47"/>
        <v>0</v>
      </c>
      <c r="DQ60" s="21">
        <f t="shared" si="47"/>
        <v>0</v>
      </c>
      <c r="DR60" s="21">
        <f t="shared" si="47"/>
        <v>0</v>
      </c>
      <c r="DS60" s="21">
        <f t="shared" si="47"/>
        <v>0</v>
      </c>
      <c r="DT60" s="21">
        <f t="shared" si="47"/>
        <v>0</v>
      </c>
      <c r="DU60" s="21">
        <f t="shared" si="47"/>
        <v>0</v>
      </c>
      <c r="DV60" s="21">
        <f t="shared" si="48"/>
        <v>0</v>
      </c>
      <c r="DW60" s="21">
        <f t="shared" si="48"/>
        <v>5000001</v>
      </c>
      <c r="DX60" s="21">
        <f t="shared" si="48"/>
        <v>4253915</v>
      </c>
      <c r="DY60" s="21">
        <f t="shared" si="48"/>
        <v>0</v>
      </c>
      <c r="DZ60" s="21">
        <f t="shared" si="48"/>
        <v>0</v>
      </c>
      <c r="EA60" s="21">
        <f t="shared" si="48"/>
        <v>0</v>
      </c>
      <c r="EB60" s="21">
        <f t="shared" si="48"/>
        <v>0</v>
      </c>
      <c r="ED60" s="27">
        <f t="shared" si="11"/>
        <v>70000000</v>
      </c>
      <c r="EE60" s="27">
        <f t="shared" si="15"/>
        <v>70000000</v>
      </c>
      <c r="EF60" s="27">
        <f t="shared" si="16"/>
        <v>70000000</v>
      </c>
    </row>
    <row r="61" spans="1:136" ht="20.25" customHeight="1" x14ac:dyDescent="0.3">
      <c r="A61" s="175"/>
      <c r="B61" s="172"/>
      <c r="C61" s="33" t="s">
        <v>198</v>
      </c>
      <c r="D61" s="18" t="s">
        <v>199</v>
      </c>
      <c r="E61" s="19">
        <v>520</v>
      </c>
      <c r="F61" s="20" t="s">
        <v>105</v>
      </c>
      <c r="G61" s="21">
        <f t="shared" si="40"/>
        <v>50000000</v>
      </c>
      <c r="H61" s="22">
        <v>158000000</v>
      </c>
      <c r="I61" s="22">
        <f t="shared" si="49"/>
        <v>108000000</v>
      </c>
      <c r="J61" s="21"/>
      <c r="K61" s="21">
        <f>30000000+10000000</f>
        <v>40000000</v>
      </c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>
        <f>10000000</f>
        <v>10000000</v>
      </c>
      <c r="AB61" s="21"/>
      <c r="AC61" s="21"/>
      <c r="AD61" s="21"/>
      <c r="AE61" s="21"/>
      <c r="AF61" s="21"/>
      <c r="AG61" s="23">
        <f t="shared" si="1"/>
        <v>0.98764518000000001</v>
      </c>
      <c r="AH61" s="21">
        <f t="shared" si="41"/>
        <v>49382259</v>
      </c>
      <c r="AI61" s="21"/>
      <c r="AJ61" s="21">
        <f>+'[1]Acuerdo PLAN INVERSIÓN 2021'!$J$4552</f>
        <v>39382259</v>
      </c>
      <c r="AK61" s="21"/>
      <c r="AL61" s="21"/>
      <c r="AM61" s="21"/>
      <c r="AN61" s="21"/>
      <c r="AO61" s="21"/>
      <c r="AP61" s="21"/>
      <c r="AQ61" s="21"/>
      <c r="AR61" s="21"/>
      <c r="AS61" s="21"/>
      <c r="AT61" s="21"/>
      <c r="AU61" s="21"/>
      <c r="AV61" s="21"/>
      <c r="AW61" s="21"/>
      <c r="AX61" s="21"/>
      <c r="AY61" s="21"/>
      <c r="AZ61" s="21">
        <f>+'[2]Acuerdo PLAN INVERSIÓN 2021'!$X$2184</f>
        <v>10000000</v>
      </c>
      <c r="BA61" s="21"/>
      <c r="BB61" s="21"/>
      <c r="BC61" s="21"/>
      <c r="BD61" s="21"/>
      <c r="BE61" s="21"/>
      <c r="BF61" s="23">
        <f t="shared" si="13"/>
        <v>1.2354819999999989E-2</v>
      </c>
      <c r="BG61" s="21">
        <f t="shared" si="42"/>
        <v>617741</v>
      </c>
      <c r="BH61" s="21">
        <f t="shared" si="43"/>
        <v>0</v>
      </c>
      <c r="BI61" s="21">
        <f t="shared" si="43"/>
        <v>617741</v>
      </c>
      <c r="BJ61" s="21">
        <f t="shared" si="43"/>
        <v>0</v>
      </c>
      <c r="BK61" s="21">
        <f t="shared" si="43"/>
        <v>0</v>
      </c>
      <c r="BL61" s="21">
        <f t="shared" si="43"/>
        <v>0</v>
      </c>
      <c r="BM61" s="21">
        <f t="shared" si="43"/>
        <v>0</v>
      </c>
      <c r="BN61" s="21">
        <f t="shared" si="43"/>
        <v>0</v>
      </c>
      <c r="BO61" s="21">
        <f t="shared" si="43"/>
        <v>0</v>
      </c>
      <c r="BP61" s="21">
        <f t="shared" si="43"/>
        <v>0</v>
      </c>
      <c r="BQ61" s="21">
        <f t="shared" si="43"/>
        <v>0</v>
      </c>
      <c r="BR61" s="21">
        <f t="shared" si="43"/>
        <v>0</v>
      </c>
      <c r="BS61" s="21">
        <f t="shared" si="43"/>
        <v>0</v>
      </c>
      <c r="BT61" s="21">
        <f t="shared" si="43"/>
        <v>0</v>
      </c>
      <c r="BU61" s="21">
        <f t="shared" si="43"/>
        <v>0</v>
      </c>
      <c r="BV61" s="21">
        <f t="shared" si="43"/>
        <v>0</v>
      </c>
      <c r="BW61" s="21">
        <f t="shared" si="43"/>
        <v>0</v>
      </c>
      <c r="BX61" s="21">
        <f t="shared" si="44"/>
        <v>0</v>
      </c>
      <c r="BY61" s="21">
        <f t="shared" si="44"/>
        <v>0</v>
      </c>
      <c r="BZ61" s="21">
        <f t="shared" si="44"/>
        <v>0</v>
      </c>
      <c r="CA61" s="21">
        <f t="shared" si="44"/>
        <v>0</v>
      </c>
      <c r="CB61" s="21">
        <f t="shared" si="44"/>
        <v>0</v>
      </c>
      <c r="CC61" s="21">
        <f t="shared" si="44"/>
        <v>0</v>
      </c>
      <c r="CD61" s="21">
        <f t="shared" si="44"/>
        <v>0</v>
      </c>
      <c r="CE61" s="23">
        <f t="shared" si="6"/>
        <v>0.98764518000000001</v>
      </c>
      <c r="CF61" s="21">
        <f>SUM(CG61:DC61)</f>
        <v>49382259</v>
      </c>
      <c r="CG61" s="21"/>
      <c r="CH61" s="21">
        <f>+'[1]Acuerdo PLAN INVERSIÓN 2021'!$J$4552</f>
        <v>39382259</v>
      </c>
      <c r="CI61" s="21"/>
      <c r="CJ61" s="21"/>
      <c r="CK61" s="21"/>
      <c r="CL61" s="21"/>
      <c r="CM61" s="21"/>
      <c r="CN61" s="21"/>
      <c r="CO61" s="21"/>
      <c r="CP61" s="21"/>
      <c r="CQ61" s="21"/>
      <c r="CR61" s="21"/>
      <c r="CS61" s="21"/>
      <c r="CT61" s="21"/>
      <c r="CU61" s="21"/>
      <c r="CV61" s="21"/>
      <c r="CW61" s="21"/>
      <c r="CX61" s="21">
        <f>+'[7]Acuerdo PLAN INVERSIÓN 2021'!$H$2575</f>
        <v>10000000</v>
      </c>
      <c r="CY61" s="21"/>
      <c r="CZ61" s="21"/>
      <c r="DA61" s="21"/>
      <c r="DB61" s="21"/>
      <c r="DC61" s="21"/>
      <c r="DD61" s="23">
        <f t="shared" si="8"/>
        <v>1.2354819999999989E-2</v>
      </c>
      <c r="DE61" s="21">
        <f t="shared" si="46"/>
        <v>617741</v>
      </c>
      <c r="DF61" s="21">
        <f t="shared" si="47"/>
        <v>0</v>
      </c>
      <c r="DG61" s="21">
        <f t="shared" si="47"/>
        <v>617741</v>
      </c>
      <c r="DH61" s="21">
        <f t="shared" si="47"/>
        <v>0</v>
      </c>
      <c r="DI61" s="21">
        <f t="shared" si="47"/>
        <v>0</v>
      </c>
      <c r="DJ61" s="21">
        <f t="shared" si="47"/>
        <v>0</v>
      </c>
      <c r="DK61" s="21">
        <f t="shared" si="47"/>
        <v>0</v>
      </c>
      <c r="DL61" s="21">
        <f t="shared" si="47"/>
        <v>0</v>
      </c>
      <c r="DM61" s="21">
        <f t="shared" si="47"/>
        <v>0</v>
      </c>
      <c r="DN61" s="21">
        <f t="shared" si="47"/>
        <v>0</v>
      </c>
      <c r="DO61" s="21">
        <f t="shared" si="47"/>
        <v>0</v>
      </c>
      <c r="DP61" s="21">
        <f t="shared" si="47"/>
        <v>0</v>
      </c>
      <c r="DQ61" s="21">
        <f t="shared" si="47"/>
        <v>0</v>
      </c>
      <c r="DR61" s="21">
        <f t="shared" si="47"/>
        <v>0</v>
      </c>
      <c r="DS61" s="21">
        <f t="shared" si="47"/>
        <v>0</v>
      </c>
      <c r="DT61" s="21">
        <f t="shared" si="47"/>
        <v>0</v>
      </c>
      <c r="DU61" s="21">
        <f t="shared" si="47"/>
        <v>0</v>
      </c>
      <c r="DV61" s="21">
        <f t="shared" si="48"/>
        <v>0</v>
      </c>
      <c r="DW61" s="21">
        <f t="shared" si="48"/>
        <v>0</v>
      </c>
      <c r="DX61" s="21">
        <f t="shared" si="48"/>
        <v>0</v>
      </c>
      <c r="DY61" s="21">
        <f t="shared" si="48"/>
        <v>0</v>
      </c>
      <c r="DZ61" s="21">
        <f t="shared" si="48"/>
        <v>0</v>
      </c>
      <c r="EA61" s="21">
        <f t="shared" si="48"/>
        <v>0</v>
      </c>
      <c r="EB61" s="21">
        <f t="shared" si="48"/>
        <v>0</v>
      </c>
      <c r="ED61" s="27">
        <f t="shared" si="11"/>
        <v>50000000</v>
      </c>
      <c r="EE61" s="27">
        <f t="shared" si="15"/>
        <v>50000000</v>
      </c>
      <c r="EF61" s="27">
        <f t="shared" si="16"/>
        <v>50000000</v>
      </c>
    </row>
    <row r="62" spans="1:136" ht="24" customHeight="1" x14ac:dyDescent="0.3">
      <c r="A62" s="175"/>
      <c r="B62" s="173"/>
      <c r="C62" s="33" t="s">
        <v>200</v>
      </c>
      <c r="D62" s="18" t="s">
        <v>201</v>
      </c>
      <c r="E62" s="19">
        <v>520</v>
      </c>
      <c r="F62" s="20" t="s">
        <v>105</v>
      </c>
      <c r="G62" s="21">
        <f t="shared" si="40"/>
        <v>52834000</v>
      </c>
      <c r="H62" s="22">
        <v>0</v>
      </c>
      <c r="I62" s="22">
        <f t="shared" si="49"/>
        <v>-52834000</v>
      </c>
      <c r="J62" s="21"/>
      <c r="K62" s="21">
        <f>10000000</f>
        <v>10000000</v>
      </c>
      <c r="L62" s="21"/>
      <c r="M62" s="21"/>
      <c r="N62" s="21"/>
      <c r="O62" s="21">
        <v>20000000</v>
      </c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>
        <f>10000000</f>
        <v>10000000</v>
      </c>
      <c r="AB62" s="21">
        <f>12834000</f>
        <v>12834000</v>
      </c>
      <c r="AC62" s="21"/>
      <c r="AD62" s="21"/>
      <c r="AE62" s="21"/>
      <c r="AF62" s="21"/>
      <c r="AG62" s="23">
        <f t="shared" si="1"/>
        <v>0.91322758072453347</v>
      </c>
      <c r="AH62" s="21">
        <f t="shared" si="41"/>
        <v>48249466</v>
      </c>
      <c r="AI62" s="21"/>
      <c r="AJ62" s="21">
        <f>+'[1]Acuerdo PLAN INVERSIÓN 2021'!$J$4576</f>
        <v>9250000</v>
      </c>
      <c r="AK62" s="21"/>
      <c r="AL62" s="21"/>
      <c r="AM62" s="21"/>
      <c r="AN62" s="21">
        <f>+'[9]Acuerdo PLAN INVERSIÓN 2021'!$AC$569</f>
        <v>20000000</v>
      </c>
      <c r="AO62" s="21"/>
      <c r="AP62" s="21"/>
      <c r="AQ62" s="21"/>
      <c r="AR62" s="21"/>
      <c r="AS62" s="21"/>
      <c r="AT62" s="21"/>
      <c r="AU62" s="21"/>
      <c r="AV62" s="21"/>
      <c r="AW62" s="21"/>
      <c r="AX62" s="21"/>
      <c r="AY62" s="21"/>
      <c r="AZ62" s="21">
        <f>+'[4]Acuerdo PLAN INVERSIÓN 2021'!$X$1811</f>
        <v>10000000</v>
      </c>
      <c r="BA62" s="21">
        <f>+'[1]Acuerdo PLAN INVERSIÓN 2021'!$Y$4576</f>
        <v>8999466</v>
      </c>
      <c r="BB62" s="21"/>
      <c r="BC62" s="21"/>
      <c r="BD62" s="21"/>
      <c r="BE62" s="21"/>
      <c r="BF62" s="23">
        <f t="shared" si="13"/>
        <v>8.6772419275466528E-2</v>
      </c>
      <c r="BG62" s="21">
        <f t="shared" si="42"/>
        <v>4584534</v>
      </c>
      <c r="BH62" s="21">
        <f t="shared" si="43"/>
        <v>0</v>
      </c>
      <c r="BI62" s="21">
        <f t="shared" si="43"/>
        <v>750000</v>
      </c>
      <c r="BJ62" s="21">
        <f t="shared" si="43"/>
        <v>0</v>
      </c>
      <c r="BK62" s="21">
        <f t="shared" si="43"/>
        <v>0</v>
      </c>
      <c r="BL62" s="21">
        <f t="shared" si="43"/>
        <v>0</v>
      </c>
      <c r="BM62" s="21">
        <f t="shared" si="43"/>
        <v>0</v>
      </c>
      <c r="BN62" s="21">
        <f t="shared" si="43"/>
        <v>0</v>
      </c>
      <c r="BO62" s="21">
        <f t="shared" si="43"/>
        <v>0</v>
      </c>
      <c r="BP62" s="21">
        <f t="shared" si="43"/>
        <v>0</v>
      </c>
      <c r="BQ62" s="21">
        <f t="shared" si="43"/>
        <v>0</v>
      </c>
      <c r="BR62" s="21">
        <f t="shared" si="43"/>
        <v>0</v>
      </c>
      <c r="BS62" s="21">
        <f t="shared" si="43"/>
        <v>0</v>
      </c>
      <c r="BT62" s="21">
        <f t="shared" si="43"/>
        <v>0</v>
      </c>
      <c r="BU62" s="21">
        <f t="shared" si="43"/>
        <v>0</v>
      </c>
      <c r="BV62" s="21">
        <f t="shared" si="43"/>
        <v>0</v>
      </c>
      <c r="BW62" s="21">
        <f t="shared" si="43"/>
        <v>0</v>
      </c>
      <c r="BX62" s="21">
        <f t="shared" si="44"/>
        <v>0</v>
      </c>
      <c r="BY62" s="21">
        <f t="shared" si="44"/>
        <v>0</v>
      </c>
      <c r="BZ62" s="21">
        <f t="shared" si="44"/>
        <v>3834534</v>
      </c>
      <c r="CA62" s="21">
        <f t="shared" si="44"/>
        <v>0</v>
      </c>
      <c r="CB62" s="21">
        <f t="shared" si="44"/>
        <v>0</v>
      </c>
      <c r="CC62" s="21">
        <f t="shared" si="44"/>
        <v>0</v>
      </c>
      <c r="CD62" s="21">
        <f t="shared" si="44"/>
        <v>0</v>
      </c>
      <c r="CE62" s="23">
        <f t="shared" si="6"/>
        <v>0.91322758072453347</v>
      </c>
      <c r="CF62" s="21">
        <f t="shared" si="45"/>
        <v>48249466</v>
      </c>
      <c r="CG62" s="21"/>
      <c r="CH62" s="21">
        <f>+'[1]Acuerdo PLAN INVERSIÓN 2021'!$J$4576</f>
        <v>9250000</v>
      </c>
      <c r="CI62" s="21"/>
      <c r="CJ62" s="21"/>
      <c r="CK62" s="21"/>
      <c r="CL62" s="21">
        <f>+'[9]Acuerdo PLAN INVERSIÓN 2021'!$AC$569</f>
        <v>20000000</v>
      </c>
      <c r="CM62" s="21"/>
      <c r="CN62" s="21"/>
      <c r="CO62" s="21"/>
      <c r="CP62" s="21"/>
      <c r="CQ62" s="21"/>
      <c r="CR62" s="21"/>
      <c r="CS62" s="21"/>
      <c r="CT62" s="21"/>
      <c r="CU62" s="21"/>
      <c r="CV62" s="21"/>
      <c r="CW62" s="21"/>
      <c r="CX62" s="21">
        <f>+'[4]Acuerdo PLAN INVERSIÓN 2021'!$X$1811</f>
        <v>10000000</v>
      </c>
      <c r="CY62" s="21">
        <f>+'[1]Acuerdo PLAN INVERSIÓN 2021'!$Y$4576</f>
        <v>8999466</v>
      </c>
      <c r="CZ62" s="21"/>
      <c r="DA62" s="21"/>
      <c r="DB62" s="21"/>
      <c r="DC62" s="21"/>
      <c r="DD62" s="23">
        <f t="shared" si="8"/>
        <v>8.6772419275466528E-2</v>
      </c>
      <c r="DE62" s="21">
        <f t="shared" si="46"/>
        <v>4584534</v>
      </c>
      <c r="DF62" s="21">
        <f t="shared" si="47"/>
        <v>0</v>
      </c>
      <c r="DG62" s="21">
        <f t="shared" si="47"/>
        <v>750000</v>
      </c>
      <c r="DH62" s="21">
        <f t="shared" si="47"/>
        <v>0</v>
      </c>
      <c r="DI62" s="21">
        <f t="shared" si="47"/>
        <v>0</v>
      </c>
      <c r="DJ62" s="21">
        <f t="shared" si="47"/>
        <v>0</v>
      </c>
      <c r="DK62" s="21">
        <f t="shared" si="47"/>
        <v>0</v>
      </c>
      <c r="DL62" s="21">
        <f t="shared" si="47"/>
        <v>0</v>
      </c>
      <c r="DM62" s="21">
        <f t="shared" si="47"/>
        <v>0</v>
      </c>
      <c r="DN62" s="21">
        <f t="shared" si="47"/>
        <v>0</v>
      </c>
      <c r="DO62" s="21">
        <f t="shared" si="47"/>
        <v>0</v>
      </c>
      <c r="DP62" s="21">
        <f t="shared" si="47"/>
        <v>0</v>
      </c>
      <c r="DQ62" s="21">
        <f t="shared" si="47"/>
        <v>0</v>
      </c>
      <c r="DR62" s="21">
        <f t="shared" si="47"/>
        <v>0</v>
      </c>
      <c r="DS62" s="21">
        <f t="shared" si="47"/>
        <v>0</v>
      </c>
      <c r="DT62" s="21">
        <f t="shared" si="47"/>
        <v>0</v>
      </c>
      <c r="DU62" s="21">
        <f t="shared" si="47"/>
        <v>0</v>
      </c>
      <c r="DV62" s="21">
        <f t="shared" si="48"/>
        <v>0</v>
      </c>
      <c r="DW62" s="21">
        <f t="shared" si="48"/>
        <v>0</v>
      </c>
      <c r="DX62" s="21">
        <f t="shared" si="48"/>
        <v>3834534</v>
      </c>
      <c r="DY62" s="21">
        <f t="shared" si="48"/>
        <v>0</v>
      </c>
      <c r="DZ62" s="21">
        <f t="shared" si="48"/>
        <v>0</v>
      </c>
      <c r="EA62" s="21">
        <f t="shared" si="48"/>
        <v>0</v>
      </c>
      <c r="EB62" s="21">
        <f t="shared" si="48"/>
        <v>0</v>
      </c>
      <c r="ED62" s="27">
        <f t="shared" si="11"/>
        <v>52834000</v>
      </c>
      <c r="EE62" s="27">
        <f t="shared" si="15"/>
        <v>52834000</v>
      </c>
      <c r="EF62" s="27">
        <f t="shared" si="16"/>
        <v>52834000</v>
      </c>
    </row>
    <row r="63" spans="1:136" ht="55.5" customHeight="1" x14ac:dyDescent="0.3">
      <c r="A63" s="175"/>
      <c r="B63" s="171" t="s">
        <v>202</v>
      </c>
      <c r="C63" s="34" t="s">
        <v>203</v>
      </c>
      <c r="D63" s="29" t="s">
        <v>204</v>
      </c>
      <c r="E63" s="19">
        <v>520</v>
      </c>
      <c r="F63" s="20" t="s">
        <v>205</v>
      </c>
      <c r="G63" s="21">
        <f t="shared" si="40"/>
        <v>1254721927</v>
      </c>
      <c r="H63" s="22">
        <v>800000000</v>
      </c>
      <c r="I63" s="22">
        <f t="shared" si="49"/>
        <v>-454721927</v>
      </c>
      <c r="J63" s="41"/>
      <c r="K63" s="21">
        <f>95000000+80000000+37736445</f>
        <v>212736445</v>
      </c>
      <c r="L63" s="21"/>
      <c r="M63" s="21"/>
      <c r="N63" s="41"/>
      <c r="O63" s="21">
        <v>147645552</v>
      </c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>
        <f>80000000+27766866</f>
        <v>107766866</v>
      </c>
      <c r="AB63" s="21">
        <v>19896688</v>
      </c>
      <c r="AC63" s="21"/>
      <c r="AD63" s="21"/>
      <c r="AE63" s="21"/>
      <c r="AF63" s="21">
        <f>349469459+27565544+40000000+15000000+15000000+143204446+8836832+49165018+11000000+4714000+5000000+78468477+8000000+5000000-3747400+10000000</f>
        <v>766676376</v>
      </c>
      <c r="AG63" s="23">
        <f t="shared" si="1"/>
        <v>0.83869239498832793</v>
      </c>
      <c r="AH63" s="21">
        <f t="shared" si="41"/>
        <v>1052325738</v>
      </c>
      <c r="AI63" s="21"/>
      <c r="AJ63" s="21">
        <f>+'[1]Acuerdo PLAN INVERSIÓN 2021'!$J$4596</f>
        <v>181536622</v>
      </c>
      <c r="AK63" s="21"/>
      <c r="AL63" s="21"/>
      <c r="AM63" s="21"/>
      <c r="AN63" s="21">
        <f>+'[1]Acuerdo PLAN INVERSIÓN 2021'!$AD$4596</f>
        <v>119547293</v>
      </c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>
        <f>+'[1]Acuerdo PLAN INVERSIÓN 2021'!$X$4596</f>
        <v>77248431</v>
      </c>
      <c r="BA63" s="21">
        <f>+'[3]Acuerdo PLAN INVERSIÓN 2021'!$Y$3054</f>
        <v>19896688</v>
      </c>
      <c r="BB63" s="21"/>
      <c r="BC63" s="21"/>
      <c r="BD63" s="21"/>
      <c r="BE63" s="21">
        <f>+'[1]Acuerdo PLAN INVERSIÓN 2021'!$AF$4596</f>
        <v>654096704</v>
      </c>
      <c r="BF63" s="23">
        <f t="shared" si="13"/>
        <v>0.16130760501167207</v>
      </c>
      <c r="BG63" s="21">
        <f t="shared" si="42"/>
        <v>202396189</v>
      </c>
      <c r="BH63" s="21">
        <f t="shared" si="43"/>
        <v>0</v>
      </c>
      <c r="BI63" s="21">
        <f t="shared" si="43"/>
        <v>31199823</v>
      </c>
      <c r="BJ63" s="21">
        <f t="shared" si="43"/>
        <v>0</v>
      </c>
      <c r="BK63" s="21">
        <f t="shared" si="43"/>
        <v>0</v>
      </c>
      <c r="BL63" s="21">
        <f t="shared" si="43"/>
        <v>0</v>
      </c>
      <c r="BM63" s="21">
        <f t="shared" si="43"/>
        <v>28098259</v>
      </c>
      <c r="BN63" s="21">
        <f t="shared" si="43"/>
        <v>0</v>
      </c>
      <c r="BO63" s="21">
        <f t="shared" si="43"/>
        <v>0</v>
      </c>
      <c r="BP63" s="21">
        <f t="shared" si="43"/>
        <v>0</v>
      </c>
      <c r="BQ63" s="21">
        <f t="shared" si="43"/>
        <v>0</v>
      </c>
      <c r="BR63" s="21">
        <f t="shared" si="43"/>
        <v>0</v>
      </c>
      <c r="BS63" s="21">
        <f t="shared" si="43"/>
        <v>0</v>
      </c>
      <c r="BT63" s="21">
        <f t="shared" si="43"/>
        <v>0</v>
      </c>
      <c r="BU63" s="21">
        <f t="shared" si="43"/>
        <v>0</v>
      </c>
      <c r="BV63" s="21">
        <f t="shared" si="43"/>
        <v>0</v>
      </c>
      <c r="BW63" s="21">
        <f t="shared" si="43"/>
        <v>0</v>
      </c>
      <c r="BX63" s="21">
        <f t="shared" si="44"/>
        <v>0</v>
      </c>
      <c r="BY63" s="21">
        <f t="shared" si="44"/>
        <v>30518435</v>
      </c>
      <c r="BZ63" s="21">
        <f t="shared" si="44"/>
        <v>0</v>
      </c>
      <c r="CA63" s="21">
        <f t="shared" si="44"/>
        <v>0</v>
      </c>
      <c r="CB63" s="21">
        <f t="shared" si="44"/>
        <v>0</v>
      </c>
      <c r="CC63" s="21">
        <f t="shared" si="44"/>
        <v>0</v>
      </c>
      <c r="CD63" s="21">
        <f t="shared" si="44"/>
        <v>112579672</v>
      </c>
      <c r="CE63" s="23">
        <f t="shared" si="6"/>
        <v>0.83869239498832793</v>
      </c>
      <c r="CF63" s="21">
        <f t="shared" si="45"/>
        <v>1052325738</v>
      </c>
      <c r="CG63" s="21"/>
      <c r="CH63" s="21">
        <f>+'[1]Acuerdo PLAN INVERSIÓN 2021'!$J$4596</f>
        <v>181536622</v>
      </c>
      <c r="CI63" s="21"/>
      <c r="CJ63" s="21"/>
      <c r="CK63" s="21"/>
      <c r="CL63" s="21">
        <f>+'[1]Acuerdo PLAN INVERSIÓN 2021'!$AD$4596</f>
        <v>119547293</v>
      </c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>
        <f>+'[1]Acuerdo PLAN INVERSIÓN 2021'!$X$4596</f>
        <v>77248431</v>
      </c>
      <c r="CY63" s="21">
        <f>+'[3]Acuerdo PLAN INVERSIÓN 2021'!$Y$3054</f>
        <v>19896688</v>
      </c>
      <c r="CZ63" s="21"/>
      <c r="DA63" s="21"/>
      <c r="DB63" s="21"/>
      <c r="DC63" s="21">
        <f>+'[1]Acuerdo PLAN INVERSIÓN 2021'!$AF$4596</f>
        <v>654096704</v>
      </c>
      <c r="DD63" s="23">
        <f t="shared" si="8"/>
        <v>0.16130760501167207</v>
      </c>
      <c r="DE63" s="21">
        <f t="shared" si="46"/>
        <v>202396189</v>
      </c>
      <c r="DF63" s="21">
        <f t="shared" si="47"/>
        <v>0</v>
      </c>
      <c r="DG63" s="21">
        <f t="shared" si="47"/>
        <v>31199823</v>
      </c>
      <c r="DH63" s="21">
        <f t="shared" si="47"/>
        <v>0</v>
      </c>
      <c r="DI63" s="21">
        <f t="shared" si="47"/>
        <v>0</v>
      </c>
      <c r="DJ63" s="21">
        <f t="shared" si="47"/>
        <v>0</v>
      </c>
      <c r="DK63" s="21">
        <f t="shared" si="47"/>
        <v>28098259</v>
      </c>
      <c r="DL63" s="21">
        <f t="shared" si="47"/>
        <v>0</v>
      </c>
      <c r="DM63" s="21">
        <f t="shared" si="47"/>
        <v>0</v>
      </c>
      <c r="DN63" s="21">
        <f t="shared" si="47"/>
        <v>0</v>
      </c>
      <c r="DO63" s="21">
        <f t="shared" si="47"/>
        <v>0</v>
      </c>
      <c r="DP63" s="21">
        <f t="shared" si="47"/>
        <v>0</v>
      </c>
      <c r="DQ63" s="21">
        <f t="shared" si="47"/>
        <v>0</v>
      </c>
      <c r="DR63" s="21">
        <f t="shared" si="47"/>
        <v>0</v>
      </c>
      <c r="DS63" s="21">
        <f t="shared" si="47"/>
        <v>0</v>
      </c>
      <c r="DT63" s="21">
        <f t="shared" si="47"/>
        <v>0</v>
      </c>
      <c r="DU63" s="21">
        <f t="shared" si="47"/>
        <v>0</v>
      </c>
      <c r="DV63" s="21">
        <f t="shared" si="48"/>
        <v>0</v>
      </c>
      <c r="DW63" s="21">
        <f t="shared" si="48"/>
        <v>30518435</v>
      </c>
      <c r="DX63" s="21">
        <f t="shared" si="48"/>
        <v>0</v>
      </c>
      <c r="DY63" s="21">
        <f t="shared" si="48"/>
        <v>0</v>
      </c>
      <c r="DZ63" s="21">
        <f t="shared" si="48"/>
        <v>0</v>
      </c>
      <c r="EA63" s="21">
        <f t="shared" si="48"/>
        <v>0</v>
      </c>
      <c r="EB63" s="21">
        <f t="shared" si="48"/>
        <v>112579672</v>
      </c>
      <c r="ED63" s="27">
        <f t="shared" si="11"/>
        <v>1254721927</v>
      </c>
      <c r="EE63" s="27">
        <f t="shared" si="15"/>
        <v>1254721927</v>
      </c>
      <c r="EF63" s="27">
        <f t="shared" si="16"/>
        <v>1254721927</v>
      </c>
    </row>
    <row r="64" spans="1:136" ht="21" customHeight="1" x14ac:dyDescent="0.3">
      <c r="A64" s="175"/>
      <c r="B64" s="172"/>
      <c r="C64" s="34" t="s">
        <v>206</v>
      </c>
      <c r="D64" s="29" t="s">
        <v>207</v>
      </c>
      <c r="E64" s="30">
        <v>520</v>
      </c>
      <c r="F64" s="20" t="s">
        <v>105</v>
      </c>
      <c r="G64" s="21">
        <f t="shared" si="40"/>
        <v>0</v>
      </c>
      <c r="H64" s="52">
        <f>350000000+315000000+276000000</f>
        <v>941000000</v>
      </c>
      <c r="I64" s="22">
        <f t="shared" si="49"/>
        <v>941000000</v>
      </c>
      <c r="J64" s="43"/>
      <c r="K64" s="21"/>
      <c r="L64" s="41"/>
      <c r="M64" s="41"/>
      <c r="N64" s="4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3" t="e">
        <f t="shared" si="1"/>
        <v>#DIV/0!</v>
      </c>
      <c r="AH64" s="21">
        <f t="shared" si="41"/>
        <v>0</v>
      </c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3" t="e">
        <f t="shared" si="13"/>
        <v>#DIV/0!</v>
      </c>
      <c r="BG64" s="21">
        <f t="shared" si="42"/>
        <v>0</v>
      </c>
      <c r="BH64" s="21">
        <f t="shared" si="43"/>
        <v>0</v>
      </c>
      <c r="BI64" s="21">
        <f t="shared" si="43"/>
        <v>0</v>
      </c>
      <c r="BJ64" s="21">
        <f t="shared" si="43"/>
        <v>0</v>
      </c>
      <c r="BK64" s="21">
        <f t="shared" si="43"/>
        <v>0</v>
      </c>
      <c r="BL64" s="21">
        <f t="shared" si="43"/>
        <v>0</v>
      </c>
      <c r="BM64" s="21">
        <f t="shared" si="43"/>
        <v>0</v>
      </c>
      <c r="BN64" s="21">
        <f t="shared" si="43"/>
        <v>0</v>
      </c>
      <c r="BO64" s="21">
        <f t="shared" si="43"/>
        <v>0</v>
      </c>
      <c r="BP64" s="21">
        <f t="shared" si="43"/>
        <v>0</v>
      </c>
      <c r="BQ64" s="21">
        <f t="shared" si="43"/>
        <v>0</v>
      </c>
      <c r="BR64" s="21">
        <f t="shared" si="43"/>
        <v>0</v>
      </c>
      <c r="BS64" s="21">
        <f t="shared" si="43"/>
        <v>0</v>
      </c>
      <c r="BT64" s="21">
        <f t="shared" si="43"/>
        <v>0</v>
      </c>
      <c r="BU64" s="21">
        <f t="shared" si="43"/>
        <v>0</v>
      </c>
      <c r="BV64" s="21">
        <f t="shared" si="43"/>
        <v>0</v>
      </c>
      <c r="BW64" s="21">
        <f t="shared" si="43"/>
        <v>0</v>
      </c>
      <c r="BX64" s="21">
        <f t="shared" si="44"/>
        <v>0</v>
      </c>
      <c r="BY64" s="21">
        <f t="shared" si="44"/>
        <v>0</v>
      </c>
      <c r="BZ64" s="21">
        <f t="shared" si="44"/>
        <v>0</v>
      </c>
      <c r="CA64" s="21">
        <f t="shared" si="44"/>
        <v>0</v>
      </c>
      <c r="CB64" s="21">
        <f t="shared" si="44"/>
        <v>0</v>
      </c>
      <c r="CC64" s="21">
        <f t="shared" si="44"/>
        <v>0</v>
      </c>
      <c r="CD64" s="21">
        <f t="shared" si="44"/>
        <v>0</v>
      </c>
      <c r="CE64" s="23">
        <v>0</v>
      </c>
      <c r="CF64" s="21">
        <f t="shared" si="45"/>
        <v>0</v>
      </c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3">
        <f t="shared" si="8"/>
        <v>1</v>
      </c>
      <c r="DE64" s="21">
        <f t="shared" si="46"/>
        <v>0</v>
      </c>
      <c r="DF64" s="21">
        <f t="shared" si="47"/>
        <v>0</v>
      </c>
      <c r="DG64" s="21">
        <f t="shared" si="47"/>
        <v>0</v>
      </c>
      <c r="DH64" s="21">
        <f t="shared" si="47"/>
        <v>0</v>
      </c>
      <c r="DI64" s="21">
        <f t="shared" si="47"/>
        <v>0</v>
      </c>
      <c r="DJ64" s="21">
        <f t="shared" si="47"/>
        <v>0</v>
      </c>
      <c r="DK64" s="21">
        <f t="shared" si="47"/>
        <v>0</v>
      </c>
      <c r="DL64" s="21">
        <f t="shared" si="47"/>
        <v>0</v>
      </c>
      <c r="DM64" s="21">
        <f t="shared" si="47"/>
        <v>0</v>
      </c>
      <c r="DN64" s="21">
        <f t="shared" si="47"/>
        <v>0</v>
      </c>
      <c r="DO64" s="21">
        <f t="shared" si="47"/>
        <v>0</v>
      </c>
      <c r="DP64" s="21">
        <f t="shared" si="47"/>
        <v>0</v>
      </c>
      <c r="DQ64" s="21">
        <f t="shared" si="47"/>
        <v>0</v>
      </c>
      <c r="DR64" s="21">
        <f t="shared" si="47"/>
        <v>0</v>
      </c>
      <c r="DS64" s="21">
        <f t="shared" si="47"/>
        <v>0</v>
      </c>
      <c r="DT64" s="21">
        <f t="shared" si="47"/>
        <v>0</v>
      </c>
      <c r="DU64" s="21">
        <f t="shared" si="47"/>
        <v>0</v>
      </c>
      <c r="DV64" s="21">
        <f t="shared" si="48"/>
        <v>0</v>
      </c>
      <c r="DW64" s="21">
        <f t="shared" si="48"/>
        <v>0</v>
      </c>
      <c r="DX64" s="21">
        <f t="shared" si="48"/>
        <v>0</v>
      </c>
      <c r="DY64" s="21">
        <f t="shared" si="48"/>
        <v>0</v>
      </c>
      <c r="DZ64" s="21">
        <f t="shared" si="48"/>
        <v>0</v>
      </c>
      <c r="EA64" s="21">
        <f t="shared" si="48"/>
        <v>0</v>
      </c>
      <c r="EB64" s="21">
        <f t="shared" si="48"/>
        <v>0</v>
      </c>
      <c r="ED64" s="27">
        <f t="shared" si="11"/>
        <v>0</v>
      </c>
      <c r="EE64" s="27">
        <f t="shared" si="15"/>
        <v>0</v>
      </c>
      <c r="EF64" s="27">
        <f t="shared" si="16"/>
        <v>0</v>
      </c>
    </row>
    <row r="65" spans="1:136" ht="45.75" customHeight="1" x14ac:dyDescent="0.3">
      <c r="A65" s="175"/>
      <c r="B65" s="172"/>
      <c r="C65" s="33" t="s">
        <v>208</v>
      </c>
      <c r="D65" s="18" t="s">
        <v>209</v>
      </c>
      <c r="E65" s="19">
        <v>520</v>
      </c>
      <c r="F65" s="36" t="s">
        <v>210</v>
      </c>
      <c r="G65" s="21">
        <f t="shared" si="40"/>
        <v>68878336</v>
      </c>
      <c r="H65" s="22">
        <v>420000000</v>
      </c>
      <c r="I65" s="22">
        <f t="shared" si="49"/>
        <v>351121664</v>
      </c>
      <c r="J65" s="41"/>
      <c r="K65" s="21"/>
      <c r="L65" s="41"/>
      <c r="M65" s="41"/>
      <c r="N65" s="41"/>
      <c r="O65" s="4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>
        <f>39332279+5000000+5000000+5000000+6546057+8000000</f>
        <v>68878336</v>
      </c>
      <c r="AG65" s="23">
        <f t="shared" si="1"/>
        <v>0.74592882150927686</v>
      </c>
      <c r="AH65" s="21">
        <f t="shared" si="41"/>
        <v>51378336</v>
      </c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>
        <f>+'[1]Acuerdo PLAN INVERSIÓN 2021'!$AF$5399</f>
        <v>51378336</v>
      </c>
      <c r="BF65" s="23">
        <f t="shared" si="13"/>
        <v>0.25407117849072314</v>
      </c>
      <c r="BG65" s="21">
        <f t="shared" si="42"/>
        <v>17500000</v>
      </c>
      <c r="BH65" s="21">
        <f t="shared" si="43"/>
        <v>0</v>
      </c>
      <c r="BI65" s="21">
        <f t="shared" si="43"/>
        <v>0</v>
      </c>
      <c r="BJ65" s="21">
        <f t="shared" si="43"/>
        <v>0</v>
      </c>
      <c r="BK65" s="21">
        <f t="shared" si="43"/>
        <v>0</v>
      </c>
      <c r="BL65" s="21">
        <f t="shared" si="43"/>
        <v>0</v>
      </c>
      <c r="BM65" s="21">
        <f t="shared" si="43"/>
        <v>0</v>
      </c>
      <c r="BN65" s="21">
        <f t="shared" si="43"/>
        <v>0</v>
      </c>
      <c r="BO65" s="21">
        <f t="shared" si="43"/>
        <v>0</v>
      </c>
      <c r="BP65" s="21">
        <f t="shared" si="43"/>
        <v>0</v>
      </c>
      <c r="BQ65" s="21">
        <f t="shared" si="43"/>
        <v>0</v>
      </c>
      <c r="BR65" s="21">
        <f t="shared" si="43"/>
        <v>0</v>
      </c>
      <c r="BS65" s="21">
        <f t="shared" si="43"/>
        <v>0</v>
      </c>
      <c r="BT65" s="21">
        <f t="shared" si="43"/>
        <v>0</v>
      </c>
      <c r="BU65" s="21">
        <f t="shared" si="43"/>
        <v>0</v>
      </c>
      <c r="BV65" s="21">
        <f t="shared" si="43"/>
        <v>0</v>
      </c>
      <c r="BW65" s="21">
        <f t="shared" si="43"/>
        <v>0</v>
      </c>
      <c r="BX65" s="21">
        <f t="shared" si="44"/>
        <v>0</v>
      </c>
      <c r="BY65" s="21">
        <f t="shared" si="44"/>
        <v>0</v>
      </c>
      <c r="BZ65" s="21">
        <f t="shared" si="44"/>
        <v>0</v>
      </c>
      <c r="CA65" s="21">
        <f t="shared" si="44"/>
        <v>0</v>
      </c>
      <c r="CB65" s="21">
        <f t="shared" si="44"/>
        <v>0</v>
      </c>
      <c r="CC65" s="21">
        <f t="shared" si="44"/>
        <v>0</v>
      </c>
      <c r="CD65" s="21">
        <f t="shared" si="44"/>
        <v>17500000</v>
      </c>
      <c r="CE65" s="23">
        <f t="shared" si="6"/>
        <v>0.74592882150927686</v>
      </c>
      <c r="CF65" s="21">
        <f t="shared" si="45"/>
        <v>51378336</v>
      </c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>
        <f>+'[1]Acuerdo PLAN INVERSIÓN 2021'!$AF$5399</f>
        <v>51378336</v>
      </c>
      <c r="DD65" s="23">
        <f t="shared" si="8"/>
        <v>0.25407117849072314</v>
      </c>
      <c r="DE65" s="21">
        <f t="shared" si="46"/>
        <v>17500000</v>
      </c>
      <c r="DF65" s="21">
        <f t="shared" si="47"/>
        <v>0</v>
      </c>
      <c r="DG65" s="21">
        <f t="shared" si="47"/>
        <v>0</v>
      </c>
      <c r="DH65" s="21">
        <f t="shared" si="47"/>
        <v>0</v>
      </c>
      <c r="DI65" s="21">
        <f t="shared" si="47"/>
        <v>0</v>
      </c>
      <c r="DJ65" s="21">
        <f t="shared" si="47"/>
        <v>0</v>
      </c>
      <c r="DK65" s="21">
        <f t="shared" si="47"/>
        <v>0</v>
      </c>
      <c r="DL65" s="21">
        <f t="shared" si="47"/>
        <v>0</v>
      </c>
      <c r="DM65" s="21">
        <f t="shared" si="47"/>
        <v>0</v>
      </c>
      <c r="DN65" s="21">
        <f t="shared" si="47"/>
        <v>0</v>
      </c>
      <c r="DO65" s="21">
        <f t="shared" si="47"/>
        <v>0</v>
      </c>
      <c r="DP65" s="21">
        <f t="shared" si="47"/>
        <v>0</v>
      </c>
      <c r="DQ65" s="21">
        <f t="shared" si="47"/>
        <v>0</v>
      </c>
      <c r="DR65" s="21">
        <f t="shared" si="47"/>
        <v>0</v>
      </c>
      <c r="DS65" s="21">
        <f t="shared" si="47"/>
        <v>0</v>
      </c>
      <c r="DT65" s="21">
        <f t="shared" si="47"/>
        <v>0</v>
      </c>
      <c r="DU65" s="21">
        <f t="shared" si="47"/>
        <v>0</v>
      </c>
      <c r="DV65" s="21">
        <f t="shared" si="48"/>
        <v>0</v>
      </c>
      <c r="DW65" s="21">
        <f t="shared" si="48"/>
        <v>0</v>
      </c>
      <c r="DX65" s="21">
        <f t="shared" si="48"/>
        <v>0</v>
      </c>
      <c r="DY65" s="21">
        <f t="shared" si="48"/>
        <v>0</v>
      </c>
      <c r="DZ65" s="21">
        <f t="shared" si="48"/>
        <v>0</v>
      </c>
      <c r="EA65" s="21">
        <f t="shared" si="48"/>
        <v>0</v>
      </c>
      <c r="EB65" s="21">
        <f t="shared" si="48"/>
        <v>17500000</v>
      </c>
      <c r="ED65" s="27">
        <f t="shared" si="11"/>
        <v>68878336</v>
      </c>
      <c r="EE65" s="27">
        <f t="shared" si="15"/>
        <v>68878336</v>
      </c>
      <c r="EF65" s="27">
        <f t="shared" si="16"/>
        <v>68878336</v>
      </c>
    </row>
    <row r="66" spans="1:136" ht="21" customHeight="1" x14ac:dyDescent="0.3">
      <c r="A66" s="175"/>
      <c r="B66" s="172"/>
      <c r="C66" s="33" t="s">
        <v>211</v>
      </c>
      <c r="D66" s="18" t="s">
        <v>212</v>
      </c>
      <c r="E66" s="19">
        <v>520</v>
      </c>
      <c r="F66" s="20" t="s">
        <v>105</v>
      </c>
      <c r="G66" s="21">
        <f t="shared" si="40"/>
        <v>1404625000</v>
      </c>
      <c r="H66" s="22">
        <v>1530000000</v>
      </c>
      <c r="I66" s="22">
        <f t="shared" si="49"/>
        <v>125375000</v>
      </c>
      <c r="J66" s="41"/>
      <c r="K66" s="21">
        <v>30000000</v>
      </c>
      <c r="L66" s="41"/>
      <c r="M66" s="41"/>
      <c r="N66" s="41"/>
      <c r="O66" s="41"/>
      <c r="P66" s="21"/>
      <c r="Q66" s="21"/>
      <c r="R66" s="21"/>
      <c r="S66" s="21"/>
      <c r="T66" s="21"/>
      <c r="U66" s="21"/>
      <c r="V66" s="21"/>
      <c r="W66" s="21"/>
      <c r="X66" s="21"/>
      <c r="Y66" s="21">
        <f>1200000000+100000000+74625000</f>
        <v>1374625000</v>
      </c>
      <c r="Z66" s="21"/>
      <c r="AA66" s="21"/>
      <c r="AB66" s="21"/>
      <c r="AC66" s="21"/>
      <c r="AD66" s="21"/>
      <c r="AE66" s="21"/>
      <c r="AF66" s="21"/>
      <c r="AG66" s="23">
        <f t="shared" si="1"/>
        <v>0.84872651704191515</v>
      </c>
      <c r="AH66" s="21">
        <f t="shared" si="41"/>
        <v>1192142484</v>
      </c>
      <c r="AI66" s="21"/>
      <c r="AJ66" s="21">
        <f>+'[1]Acuerdo PLAN INVERSIÓN 2021'!$J$5444</f>
        <v>6933983</v>
      </c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>
        <f>+'[1]Acuerdo PLAN INVERSIÓN 2021'!$W$5444</f>
        <v>1185208501</v>
      </c>
      <c r="AY66" s="21"/>
      <c r="AZ66" s="21"/>
      <c r="BA66" s="21"/>
      <c r="BB66" s="21"/>
      <c r="BC66" s="21"/>
      <c r="BD66" s="21"/>
      <c r="BE66" s="21"/>
      <c r="BF66" s="23">
        <f t="shared" si="13"/>
        <v>0.15127348295808485</v>
      </c>
      <c r="BG66" s="21">
        <f t="shared" si="42"/>
        <v>212482516</v>
      </c>
      <c r="BH66" s="21">
        <f t="shared" si="43"/>
        <v>0</v>
      </c>
      <c r="BI66" s="21">
        <f t="shared" si="43"/>
        <v>23066017</v>
      </c>
      <c r="BJ66" s="21">
        <f t="shared" si="43"/>
        <v>0</v>
      </c>
      <c r="BK66" s="21">
        <f t="shared" si="43"/>
        <v>0</v>
      </c>
      <c r="BL66" s="21">
        <f t="shared" si="43"/>
        <v>0</v>
      </c>
      <c r="BM66" s="21">
        <f t="shared" si="43"/>
        <v>0</v>
      </c>
      <c r="BN66" s="21">
        <f t="shared" si="43"/>
        <v>0</v>
      </c>
      <c r="BO66" s="21">
        <f t="shared" si="43"/>
        <v>0</v>
      </c>
      <c r="BP66" s="21">
        <f t="shared" si="43"/>
        <v>0</v>
      </c>
      <c r="BQ66" s="21">
        <f t="shared" si="43"/>
        <v>0</v>
      </c>
      <c r="BR66" s="21">
        <f t="shared" si="43"/>
        <v>0</v>
      </c>
      <c r="BS66" s="21">
        <f t="shared" si="43"/>
        <v>0</v>
      </c>
      <c r="BT66" s="21">
        <f t="shared" si="43"/>
        <v>0</v>
      </c>
      <c r="BU66" s="21">
        <f t="shared" si="43"/>
        <v>0</v>
      </c>
      <c r="BV66" s="21">
        <f t="shared" si="43"/>
        <v>0</v>
      </c>
      <c r="BW66" s="21">
        <f t="shared" ref="BW66:BW76" si="50">+Y66-AX66</f>
        <v>189416499</v>
      </c>
      <c r="BX66" s="21">
        <f t="shared" si="44"/>
        <v>0</v>
      </c>
      <c r="BY66" s="21">
        <f t="shared" si="44"/>
        <v>0</v>
      </c>
      <c r="BZ66" s="21">
        <f t="shared" si="44"/>
        <v>0</v>
      </c>
      <c r="CA66" s="21">
        <f t="shared" si="44"/>
        <v>0</v>
      </c>
      <c r="CB66" s="21">
        <f t="shared" si="44"/>
        <v>0</v>
      </c>
      <c r="CC66" s="21">
        <f t="shared" si="44"/>
        <v>0</v>
      </c>
      <c r="CD66" s="21">
        <f t="shared" si="44"/>
        <v>0</v>
      </c>
      <c r="CE66" s="23">
        <f t="shared" si="6"/>
        <v>0.84872651704191515</v>
      </c>
      <c r="CF66" s="21">
        <f t="shared" si="45"/>
        <v>1192142484</v>
      </c>
      <c r="CG66" s="21"/>
      <c r="CH66" s="21">
        <f>+'[1]Acuerdo PLAN INVERSIÓN 2021'!$J$5444</f>
        <v>6933983</v>
      </c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>
        <f>+'[1]Acuerdo PLAN INVERSIÓN 2021'!$W$5444</f>
        <v>1185208501</v>
      </c>
      <c r="CW66" s="21"/>
      <c r="CX66" s="21"/>
      <c r="CY66" s="21"/>
      <c r="CZ66" s="21"/>
      <c r="DA66" s="21"/>
      <c r="DB66" s="21"/>
      <c r="DC66" s="21"/>
      <c r="DD66" s="23">
        <f t="shared" si="8"/>
        <v>0.15127348295808485</v>
      </c>
      <c r="DE66" s="21">
        <f t="shared" si="46"/>
        <v>212482516</v>
      </c>
      <c r="DF66" s="21">
        <f t="shared" si="47"/>
        <v>0</v>
      </c>
      <c r="DG66" s="21">
        <f t="shared" si="47"/>
        <v>23066017</v>
      </c>
      <c r="DH66" s="21">
        <f t="shared" si="47"/>
        <v>0</v>
      </c>
      <c r="DI66" s="21">
        <f t="shared" si="47"/>
        <v>0</v>
      </c>
      <c r="DJ66" s="21">
        <f t="shared" si="47"/>
        <v>0</v>
      </c>
      <c r="DK66" s="21">
        <f t="shared" si="47"/>
        <v>0</v>
      </c>
      <c r="DL66" s="21">
        <f t="shared" si="47"/>
        <v>0</v>
      </c>
      <c r="DM66" s="21">
        <f t="shared" si="47"/>
        <v>0</v>
      </c>
      <c r="DN66" s="21">
        <f t="shared" si="47"/>
        <v>0</v>
      </c>
      <c r="DO66" s="21">
        <f t="shared" si="47"/>
        <v>0</v>
      </c>
      <c r="DP66" s="21">
        <f t="shared" si="47"/>
        <v>0</v>
      </c>
      <c r="DQ66" s="21">
        <f t="shared" si="47"/>
        <v>0</v>
      </c>
      <c r="DR66" s="21">
        <f t="shared" si="47"/>
        <v>0</v>
      </c>
      <c r="DS66" s="21">
        <f t="shared" si="47"/>
        <v>0</v>
      </c>
      <c r="DT66" s="21">
        <f t="shared" si="47"/>
        <v>0</v>
      </c>
      <c r="DU66" s="21">
        <f t="shared" ref="DU66:DU76" si="51">+Y66-CV66</f>
        <v>189416499</v>
      </c>
      <c r="DV66" s="21">
        <f t="shared" si="48"/>
        <v>0</v>
      </c>
      <c r="DW66" s="21">
        <f t="shared" si="48"/>
        <v>0</v>
      </c>
      <c r="DX66" s="21">
        <f t="shared" si="48"/>
        <v>0</v>
      </c>
      <c r="DY66" s="21">
        <f t="shared" si="48"/>
        <v>0</v>
      </c>
      <c r="DZ66" s="21">
        <f t="shared" si="48"/>
        <v>0</v>
      </c>
      <c r="EA66" s="21">
        <f t="shared" si="48"/>
        <v>0</v>
      </c>
      <c r="EB66" s="21">
        <f t="shared" si="48"/>
        <v>0</v>
      </c>
      <c r="ED66" s="27">
        <f t="shared" si="11"/>
        <v>1404625000</v>
      </c>
      <c r="EE66" s="27">
        <f t="shared" si="15"/>
        <v>1404625000</v>
      </c>
      <c r="EF66" s="27">
        <f t="shared" si="16"/>
        <v>1404625000</v>
      </c>
    </row>
    <row r="67" spans="1:136" ht="30.75" customHeight="1" x14ac:dyDescent="0.3">
      <c r="A67" s="175"/>
      <c r="B67" s="173"/>
      <c r="C67" s="33" t="s">
        <v>213</v>
      </c>
      <c r="D67" s="18" t="s">
        <v>214</v>
      </c>
      <c r="E67" s="19">
        <v>520</v>
      </c>
      <c r="F67" s="20" t="s">
        <v>215</v>
      </c>
      <c r="G67" s="21">
        <f t="shared" si="40"/>
        <v>178800000</v>
      </c>
      <c r="H67" s="22">
        <v>200000000</v>
      </c>
      <c r="I67" s="22">
        <f t="shared" si="49"/>
        <v>21200000</v>
      </c>
      <c r="J67" s="41"/>
      <c r="K67" s="21">
        <f>100000000+30000000</f>
        <v>130000000</v>
      </c>
      <c r="L67" s="21"/>
      <c r="M67" s="21"/>
      <c r="N67" s="41"/>
      <c r="O67" s="4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>
        <v>40000000</v>
      </c>
      <c r="AB67" s="21"/>
      <c r="AC67" s="21"/>
      <c r="AD67" s="21"/>
      <c r="AE67" s="21"/>
      <c r="AF67" s="21">
        <f>3000000+5800000</f>
        <v>8800000</v>
      </c>
      <c r="AG67" s="23">
        <f t="shared" si="1"/>
        <v>0.5522470973154362</v>
      </c>
      <c r="AH67" s="21">
        <f t="shared" si="41"/>
        <v>98741781</v>
      </c>
      <c r="AI67" s="21"/>
      <c r="AJ67" s="21">
        <f>+'[1]Acuerdo PLAN INVERSIÓN 2021'!$J$5659</f>
        <v>89975115</v>
      </c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>
        <f>+'[7]Acuerdo PLAN INVERSIÓN 2021'!$AF$3109</f>
        <v>8766666</v>
      </c>
      <c r="BF67" s="23">
        <f t="shared" si="13"/>
        <v>0.4477529026845638</v>
      </c>
      <c r="BG67" s="21">
        <f t="shared" si="42"/>
        <v>80058219</v>
      </c>
      <c r="BH67" s="21">
        <f t="shared" ref="BH67:BV76" si="52">+J67-AI67</f>
        <v>0</v>
      </c>
      <c r="BI67" s="21">
        <f t="shared" si="52"/>
        <v>40024885</v>
      </c>
      <c r="BJ67" s="21">
        <f t="shared" si="52"/>
        <v>0</v>
      </c>
      <c r="BK67" s="21">
        <f t="shared" si="52"/>
        <v>0</v>
      </c>
      <c r="BL67" s="21">
        <f t="shared" si="52"/>
        <v>0</v>
      </c>
      <c r="BM67" s="21">
        <f t="shared" si="52"/>
        <v>0</v>
      </c>
      <c r="BN67" s="21">
        <f t="shared" si="52"/>
        <v>0</v>
      </c>
      <c r="BO67" s="21">
        <f t="shared" si="52"/>
        <v>0</v>
      </c>
      <c r="BP67" s="21">
        <f t="shared" si="52"/>
        <v>0</v>
      </c>
      <c r="BQ67" s="21">
        <f t="shared" si="52"/>
        <v>0</v>
      </c>
      <c r="BR67" s="21">
        <f t="shared" si="52"/>
        <v>0</v>
      </c>
      <c r="BS67" s="21">
        <f t="shared" si="52"/>
        <v>0</v>
      </c>
      <c r="BT67" s="21">
        <f t="shared" si="52"/>
        <v>0</v>
      </c>
      <c r="BU67" s="21">
        <f t="shared" si="52"/>
        <v>0</v>
      </c>
      <c r="BV67" s="21">
        <f t="shared" si="52"/>
        <v>0</v>
      </c>
      <c r="BW67" s="21">
        <f t="shared" si="50"/>
        <v>0</v>
      </c>
      <c r="BX67" s="21">
        <f t="shared" si="44"/>
        <v>0</v>
      </c>
      <c r="BY67" s="21">
        <f t="shared" si="44"/>
        <v>40000000</v>
      </c>
      <c r="BZ67" s="21">
        <f t="shared" si="44"/>
        <v>0</v>
      </c>
      <c r="CA67" s="21">
        <f t="shared" si="44"/>
        <v>0</v>
      </c>
      <c r="CB67" s="21">
        <f t="shared" si="44"/>
        <v>0</v>
      </c>
      <c r="CC67" s="21">
        <f t="shared" si="44"/>
        <v>0</v>
      </c>
      <c r="CD67" s="21">
        <f t="shared" si="44"/>
        <v>33334</v>
      </c>
      <c r="CE67" s="23">
        <f t="shared" si="6"/>
        <v>0.5522470973154362</v>
      </c>
      <c r="CF67" s="21">
        <f t="shared" si="45"/>
        <v>98741781</v>
      </c>
      <c r="CG67" s="21"/>
      <c r="CH67" s="21">
        <f>+'[1]Acuerdo PLAN INVERSIÓN 2021'!$J$5659</f>
        <v>89975115</v>
      </c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>
        <f>+'[7]Acuerdo PLAN INVERSIÓN 2021'!$AF$3109</f>
        <v>8766666</v>
      </c>
      <c r="DD67" s="23">
        <f t="shared" si="8"/>
        <v>0.4477529026845638</v>
      </c>
      <c r="DE67" s="21">
        <f t="shared" si="46"/>
        <v>80058219</v>
      </c>
      <c r="DF67" s="21">
        <f t="shared" ref="DF67:DT76" si="53">+J67-CG67</f>
        <v>0</v>
      </c>
      <c r="DG67" s="21">
        <f t="shared" si="53"/>
        <v>40024885</v>
      </c>
      <c r="DH67" s="21">
        <f t="shared" si="53"/>
        <v>0</v>
      </c>
      <c r="DI67" s="21">
        <f t="shared" si="53"/>
        <v>0</v>
      </c>
      <c r="DJ67" s="21">
        <f t="shared" si="53"/>
        <v>0</v>
      </c>
      <c r="DK67" s="21">
        <f t="shared" si="53"/>
        <v>0</v>
      </c>
      <c r="DL67" s="21">
        <f t="shared" si="53"/>
        <v>0</v>
      </c>
      <c r="DM67" s="21">
        <f t="shared" si="53"/>
        <v>0</v>
      </c>
      <c r="DN67" s="21">
        <f t="shared" si="53"/>
        <v>0</v>
      </c>
      <c r="DO67" s="21">
        <f t="shared" si="53"/>
        <v>0</v>
      </c>
      <c r="DP67" s="21">
        <f t="shared" si="53"/>
        <v>0</v>
      </c>
      <c r="DQ67" s="21">
        <f t="shared" si="53"/>
        <v>0</v>
      </c>
      <c r="DR67" s="21">
        <f t="shared" si="53"/>
        <v>0</v>
      </c>
      <c r="DS67" s="21">
        <f t="shared" si="53"/>
        <v>0</v>
      </c>
      <c r="DT67" s="21">
        <f t="shared" si="53"/>
        <v>0</v>
      </c>
      <c r="DU67" s="21">
        <f t="shared" si="51"/>
        <v>0</v>
      </c>
      <c r="DV67" s="21">
        <f t="shared" si="48"/>
        <v>0</v>
      </c>
      <c r="DW67" s="21">
        <f t="shared" si="48"/>
        <v>40000000</v>
      </c>
      <c r="DX67" s="21">
        <f t="shared" si="48"/>
        <v>0</v>
      </c>
      <c r="DY67" s="21">
        <f t="shared" si="48"/>
        <v>0</v>
      </c>
      <c r="DZ67" s="21">
        <f t="shared" si="48"/>
        <v>0</v>
      </c>
      <c r="EA67" s="21">
        <f t="shared" si="48"/>
        <v>0</v>
      </c>
      <c r="EB67" s="21">
        <f t="shared" si="48"/>
        <v>33334</v>
      </c>
      <c r="ED67" s="27">
        <f t="shared" si="11"/>
        <v>178800000</v>
      </c>
      <c r="EE67" s="27">
        <f t="shared" si="15"/>
        <v>178800000</v>
      </c>
      <c r="EF67" s="27">
        <f t="shared" si="16"/>
        <v>178800000</v>
      </c>
    </row>
    <row r="68" spans="1:136" ht="19.2" customHeight="1" x14ac:dyDescent="0.3">
      <c r="A68" s="174" t="s">
        <v>172</v>
      </c>
      <c r="B68" s="171" t="s">
        <v>216</v>
      </c>
      <c r="C68" s="33" t="s">
        <v>217</v>
      </c>
      <c r="D68" s="18" t="s">
        <v>218</v>
      </c>
      <c r="E68" s="19">
        <v>520</v>
      </c>
      <c r="F68" s="20" t="s">
        <v>105</v>
      </c>
      <c r="G68" s="21">
        <f t="shared" si="40"/>
        <v>103866666</v>
      </c>
      <c r="H68" s="22">
        <v>154600000</v>
      </c>
      <c r="I68" s="22">
        <f t="shared" si="49"/>
        <v>50733334</v>
      </c>
      <c r="J68" s="41"/>
      <c r="K68" s="21">
        <f>50000000+10000000</f>
        <v>60000000</v>
      </c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>
        <f>10000000</f>
        <v>10000000</v>
      </c>
      <c r="AB68" s="21">
        <v>33866666</v>
      </c>
      <c r="AC68" s="21"/>
      <c r="AD68" s="21"/>
      <c r="AE68" s="21"/>
      <c r="AF68" s="21"/>
      <c r="AG68" s="23">
        <f t="shared" si="1"/>
        <v>0.99277926182785148</v>
      </c>
      <c r="AH68" s="21">
        <f t="shared" si="41"/>
        <v>103116672</v>
      </c>
      <c r="AI68" s="21"/>
      <c r="AJ68" s="21">
        <f>+'[1]Acuerdo PLAN INVERSIÓN 2021'!$J$5703</f>
        <v>59991660</v>
      </c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>
        <f>+'[4]Acuerdo PLAN INVERSIÓN 2021'!$X$2245</f>
        <v>10000000</v>
      </c>
      <c r="BA68" s="21">
        <f>+'[1]Acuerdo PLAN INVERSIÓN 2021'!$Y$5703</f>
        <v>33125012</v>
      </c>
      <c r="BB68" s="21"/>
      <c r="BC68" s="21"/>
      <c r="BD68" s="21"/>
      <c r="BE68" s="21"/>
      <c r="BF68" s="23">
        <f t="shared" si="13"/>
        <v>7.220738172148522E-3</v>
      </c>
      <c r="BG68" s="21">
        <f t="shared" si="42"/>
        <v>749994</v>
      </c>
      <c r="BH68" s="21">
        <f t="shared" si="52"/>
        <v>0</v>
      </c>
      <c r="BI68" s="21">
        <f t="shared" si="52"/>
        <v>8340</v>
      </c>
      <c r="BJ68" s="21">
        <f t="shared" si="52"/>
        <v>0</v>
      </c>
      <c r="BK68" s="21">
        <f t="shared" si="52"/>
        <v>0</v>
      </c>
      <c r="BL68" s="21">
        <f t="shared" si="52"/>
        <v>0</v>
      </c>
      <c r="BM68" s="21">
        <f t="shared" si="52"/>
        <v>0</v>
      </c>
      <c r="BN68" s="21">
        <f t="shared" si="52"/>
        <v>0</v>
      </c>
      <c r="BO68" s="21">
        <f t="shared" si="52"/>
        <v>0</v>
      </c>
      <c r="BP68" s="21">
        <f t="shared" si="52"/>
        <v>0</v>
      </c>
      <c r="BQ68" s="21">
        <f t="shared" si="52"/>
        <v>0</v>
      </c>
      <c r="BR68" s="21">
        <f t="shared" si="52"/>
        <v>0</v>
      </c>
      <c r="BS68" s="21">
        <f t="shared" si="52"/>
        <v>0</v>
      </c>
      <c r="BT68" s="21">
        <f t="shared" si="52"/>
        <v>0</v>
      </c>
      <c r="BU68" s="21">
        <f t="shared" si="52"/>
        <v>0</v>
      </c>
      <c r="BV68" s="21">
        <f t="shared" si="52"/>
        <v>0</v>
      </c>
      <c r="BW68" s="21">
        <f t="shared" si="50"/>
        <v>0</v>
      </c>
      <c r="BX68" s="21">
        <f t="shared" si="44"/>
        <v>0</v>
      </c>
      <c r="BY68" s="21">
        <f t="shared" si="44"/>
        <v>0</v>
      </c>
      <c r="BZ68" s="21">
        <f t="shared" si="44"/>
        <v>741654</v>
      </c>
      <c r="CA68" s="21">
        <f t="shared" si="44"/>
        <v>0</v>
      </c>
      <c r="CB68" s="21">
        <f t="shared" si="44"/>
        <v>0</v>
      </c>
      <c r="CC68" s="21">
        <f t="shared" si="44"/>
        <v>0</v>
      </c>
      <c r="CD68" s="21">
        <f t="shared" si="44"/>
        <v>0</v>
      </c>
      <c r="CE68" s="23">
        <f t="shared" si="6"/>
        <v>0.99277926182785148</v>
      </c>
      <c r="CF68" s="21">
        <f t="shared" si="45"/>
        <v>103116672</v>
      </c>
      <c r="CG68" s="21"/>
      <c r="CH68" s="21">
        <f>+'[1]Acuerdo PLAN INVERSIÓN 2021'!$J$5703</f>
        <v>59991660</v>
      </c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>
        <f>+'[4]Acuerdo PLAN INVERSIÓN 2021'!$X$2245</f>
        <v>10000000</v>
      </c>
      <c r="CY68" s="21">
        <f>+'[1]Acuerdo PLAN INVERSIÓN 2021'!$Y$5703</f>
        <v>33125012</v>
      </c>
      <c r="CZ68" s="21"/>
      <c r="DA68" s="21"/>
      <c r="DB68" s="21"/>
      <c r="DC68" s="21"/>
      <c r="DD68" s="23">
        <f t="shared" si="8"/>
        <v>7.220738172148522E-3</v>
      </c>
      <c r="DE68" s="21">
        <f t="shared" si="46"/>
        <v>749994</v>
      </c>
      <c r="DF68" s="21">
        <f t="shared" si="53"/>
        <v>0</v>
      </c>
      <c r="DG68" s="21">
        <f t="shared" si="53"/>
        <v>8340</v>
      </c>
      <c r="DH68" s="21">
        <f t="shared" si="53"/>
        <v>0</v>
      </c>
      <c r="DI68" s="21">
        <f t="shared" si="53"/>
        <v>0</v>
      </c>
      <c r="DJ68" s="21">
        <f t="shared" si="53"/>
        <v>0</v>
      </c>
      <c r="DK68" s="21">
        <f t="shared" si="53"/>
        <v>0</v>
      </c>
      <c r="DL68" s="21">
        <f t="shared" si="53"/>
        <v>0</v>
      </c>
      <c r="DM68" s="21">
        <f t="shared" si="53"/>
        <v>0</v>
      </c>
      <c r="DN68" s="21">
        <f t="shared" si="53"/>
        <v>0</v>
      </c>
      <c r="DO68" s="21">
        <f t="shared" si="53"/>
        <v>0</v>
      </c>
      <c r="DP68" s="21">
        <f t="shared" si="53"/>
        <v>0</v>
      </c>
      <c r="DQ68" s="21">
        <f t="shared" si="53"/>
        <v>0</v>
      </c>
      <c r="DR68" s="21">
        <f t="shared" si="53"/>
        <v>0</v>
      </c>
      <c r="DS68" s="21">
        <f t="shared" si="53"/>
        <v>0</v>
      </c>
      <c r="DT68" s="21">
        <f t="shared" si="53"/>
        <v>0</v>
      </c>
      <c r="DU68" s="21">
        <f t="shared" si="51"/>
        <v>0</v>
      </c>
      <c r="DV68" s="21">
        <f t="shared" si="48"/>
        <v>0</v>
      </c>
      <c r="DW68" s="21">
        <f t="shared" si="48"/>
        <v>0</v>
      </c>
      <c r="DX68" s="21">
        <f t="shared" si="48"/>
        <v>741654</v>
      </c>
      <c r="DY68" s="21">
        <f t="shared" si="48"/>
        <v>0</v>
      </c>
      <c r="DZ68" s="21">
        <f t="shared" si="48"/>
        <v>0</v>
      </c>
      <c r="EA68" s="21">
        <f t="shared" si="48"/>
        <v>0</v>
      </c>
      <c r="EB68" s="21">
        <f t="shared" si="48"/>
        <v>0</v>
      </c>
      <c r="ED68" s="27">
        <f t="shared" si="11"/>
        <v>103866666</v>
      </c>
      <c r="EE68" s="27">
        <f t="shared" si="15"/>
        <v>103866666</v>
      </c>
      <c r="EF68" s="27">
        <f t="shared" si="16"/>
        <v>103866666</v>
      </c>
    </row>
    <row r="69" spans="1:136" ht="20.399999999999999" customHeight="1" x14ac:dyDescent="0.3">
      <c r="A69" s="175"/>
      <c r="B69" s="172"/>
      <c r="C69" s="33" t="s">
        <v>219</v>
      </c>
      <c r="D69" s="18" t="s">
        <v>220</v>
      </c>
      <c r="E69" s="19">
        <v>520</v>
      </c>
      <c r="F69" s="20" t="s">
        <v>105</v>
      </c>
      <c r="G69" s="21">
        <f t="shared" si="40"/>
        <v>158894278</v>
      </c>
      <c r="H69" s="22">
        <v>148300000</v>
      </c>
      <c r="I69" s="22">
        <f t="shared" si="49"/>
        <v>-10594278</v>
      </c>
      <c r="J69" s="41"/>
      <c r="K69" s="21">
        <f>50000000+14174278+12091750</f>
        <v>76266028</v>
      </c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43"/>
      <c r="AA69" s="21">
        <f>20000000+20000000</f>
        <v>40000000</v>
      </c>
      <c r="AB69" s="21">
        <f>30000000+12628250</f>
        <v>42628250</v>
      </c>
      <c r="AC69" s="21"/>
      <c r="AD69" s="21"/>
      <c r="AE69" s="21"/>
      <c r="AF69" s="21"/>
      <c r="AG69" s="23">
        <f t="shared" si="1"/>
        <v>0.93662256358910545</v>
      </c>
      <c r="AH69" s="21">
        <f t="shared" si="41"/>
        <v>148823966</v>
      </c>
      <c r="AI69" s="21"/>
      <c r="AJ69" s="21">
        <f>+'[1]Acuerdo PLAN INVERSIÓN 2021'!$J$5740</f>
        <v>74882028</v>
      </c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>
        <f>+'[1]Acuerdo PLAN INVERSIÓN 2021'!$X$5740</f>
        <v>31347926</v>
      </c>
      <c r="BA69" s="21">
        <f>+'[1]Acuerdo PLAN INVERSIÓN 2021'!$Y$5740</f>
        <v>42594012</v>
      </c>
      <c r="BB69" s="21"/>
      <c r="BC69" s="21"/>
      <c r="BD69" s="21"/>
      <c r="BE69" s="21"/>
      <c r="BF69" s="23">
        <f t="shared" si="13"/>
        <v>6.337743641089455E-2</v>
      </c>
      <c r="BG69" s="21">
        <f t="shared" si="42"/>
        <v>10070312</v>
      </c>
      <c r="BH69" s="21">
        <f t="shared" si="52"/>
        <v>0</v>
      </c>
      <c r="BI69" s="21">
        <f t="shared" si="52"/>
        <v>1384000</v>
      </c>
      <c r="BJ69" s="21">
        <f t="shared" si="52"/>
        <v>0</v>
      </c>
      <c r="BK69" s="21">
        <f t="shared" si="52"/>
        <v>0</v>
      </c>
      <c r="BL69" s="21">
        <f t="shared" si="52"/>
        <v>0</v>
      </c>
      <c r="BM69" s="21">
        <f t="shared" si="52"/>
        <v>0</v>
      </c>
      <c r="BN69" s="21">
        <f t="shared" si="52"/>
        <v>0</v>
      </c>
      <c r="BO69" s="21">
        <f t="shared" si="52"/>
        <v>0</v>
      </c>
      <c r="BP69" s="21">
        <f t="shared" si="52"/>
        <v>0</v>
      </c>
      <c r="BQ69" s="21">
        <f t="shared" si="52"/>
        <v>0</v>
      </c>
      <c r="BR69" s="21">
        <f t="shared" si="52"/>
        <v>0</v>
      </c>
      <c r="BS69" s="21">
        <f t="shared" si="52"/>
        <v>0</v>
      </c>
      <c r="BT69" s="21">
        <f t="shared" si="52"/>
        <v>0</v>
      </c>
      <c r="BU69" s="21">
        <f t="shared" si="52"/>
        <v>0</v>
      </c>
      <c r="BV69" s="21">
        <f t="shared" si="52"/>
        <v>0</v>
      </c>
      <c r="BW69" s="21">
        <f t="shared" si="50"/>
        <v>0</v>
      </c>
      <c r="BX69" s="21">
        <f t="shared" si="44"/>
        <v>0</v>
      </c>
      <c r="BY69" s="21">
        <f t="shared" si="44"/>
        <v>8652074</v>
      </c>
      <c r="BZ69" s="21">
        <f t="shared" si="44"/>
        <v>34238</v>
      </c>
      <c r="CA69" s="21">
        <f t="shared" si="44"/>
        <v>0</v>
      </c>
      <c r="CB69" s="21">
        <f t="shared" si="44"/>
        <v>0</v>
      </c>
      <c r="CC69" s="21">
        <f t="shared" si="44"/>
        <v>0</v>
      </c>
      <c r="CD69" s="21">
        <f t="shared" si="44"/>
        <v>0</v>
      </c>
      <c r="CE69" s="23">
        <f t="shared" si="6"/>
        <v>0.93662256358910545</v>
      </c>
      <c r="CF69" s="21">
        <f t="shared" si="45"/>
        <v>148823966</v>
      </c>
      <c r="CG69" s="21"/>
      <c r="CH69" s="21">
        <f>+'[1]Acuerdo PLAN INVERSIÓN 2021'!$J$5740</f>
        <v>74882028</v>
      </c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>
        <f>+'[1]Acuerdo PLAN INVERSIÓN 2021'!$X$5740</f>
        <v>31347926</v>
      </c>
      <c r="CY69" s="21">
        <f>+'[1]Acuerdo PLAN INVERSIÓN 2021'!$Y$5740</f>
        <v>42594012</v>
      </c>
      <c r="CZ69" s="21"/>
      <c r="DA69" s="21"/>
      <c r="DB69" s="21"/>
      <c r="DC69" s="21"/>
      <c r="DD69" s="23">
        <f t="shared" si="8"/>
        <v>6.337743641089455E-2</v>
      </c>
      <c r="DE69" s="21">
        <f t="shared" si="46"/>
        <v>10070312</v>
      </c>
      <c r="DF69" s="21">
        <f t="shared" si="53"/>
        <v>0</v>
      </c>
      <c r="DG69" s="21">
        <f t="shared" si="53"/>
        <v>1384000</v>
      </c>
      <c r="DH69" s="21">
        <f t="shared" si="53"/>
        <v>0</v>
      </c>
      <c r="DI69" s="21">
        <f t="shared" si="53"/>
        <v>0</v>
      </c>
      <c r="DJ69" s="21">
        <f t="shared" si="53"/>
        <v>0</v>
      </c>
      <c r="DK69" s="21">
        <f t="shared" si="53"/>
        <v>0</v>
      </c>
      <c r="DL69" s="21">
        <f t="shared" si="53"/>
        <v>0</v>
      </c>
      <c r="DM69" s="21">
        <f t="shared" si="53"/>
        <v>0</v>
      </c>
      <c r="DN69" s="21">
        <f t="shared" si="53"/>
        <v>0</v>
      </c>
      <c r="DO69" s="21">
        <f t="shared" si="53"/>
        <v>0</v>
      </c>
      <c r="DP69" s="21">
        <f t="shared" si="53"/>
        <v>0</v>
      </c>
      <c r="DQ69" s="21">
        <f t="shared" si="53"/>
        <v>0</v>
      </c>
      <c r="DR69" s="21">
        <f t="shared" si="53"/>
        <v>0</v>
      </c>
      <c r="DS69" s="21">
        <f t="shared" si="53"/>
        <v>0</v>
      </c>
      <c r="DT69" s="21">
        <f t="shared" si="53"/>
        <v>0</v>
      </c>
      <c r="DU69" s="21">
        <f t="shared" si="51"/>
        <v>0</v>
      </c>
      <c r="DV69" s="21">
        <f t="shared" si="48"/>
        <v>0</v>
      </c>
      <c r="DW69" s="21">
        <f t="shared" si="48"/>
        <v>8652074</v>
      </c>
      <c r="DX69" s="21">
        <f t="shared" si="48"/>
        <v>34238</v>
      </c>
      <c r="DY69" s="21">
        <f t="shared" si="48"/>
        <v>0</v>
      </c>
      <c r="DZ69" s="21">
        <f t="shared" si="48"/>
        <v>0</v>
      </c>
      <c r="EA69" s="21">
        <f t="shared" si="48"/>
        <v>0</v>
      </c>
      <c r="EB69" s="21">
        <f t="shared" si="48"/>
        <v>0</v>
      </c>
      <c r="ED69" s="27">
        <f t="shared" si="11"/>
        <v>158894278</v>
      </c>
      <c r="EE69" s="27">
        <f t="shared" si="15"/>
        <v>158894278</v>
      </c>
      <c r="EF69" s="27">
        <f t="shared" si="16"/>
        <v>158894278</v>
      </c>
    </row>
    <row r="70" spans="1:136" ht="17.399999999999999" customHeight="1" x14ac:dyDescent="0.3">
      <c r="A70" s="175"/>
      <c r="B70" s="172"/>
      <c r="C70" s="33" t="s">
        <v>221</v>
      </c>
      <c r="D70" s="18" t="s">
        <v>222</v>
      </c>
      <c r="E70" s="19">
        <v>520</v>
      </c>
      <c r="F70" s="20" t="s">
        <v>105</v>
      </c>
      <c r="G70" s="21">
        <f t="shared" si="40"/>
        <v>60000000</v>
      </c>
      <c r="H70" s="22">
        <v>90200000</v>
      </c>
      <c r="I70" s="22">
        <f t="shared" si="49"/>
        <v>30200000</v>
      </c>
      <c r="J70" s="41"/>
      <c r="K70" s="21">
        <f>40000000+10000000</f>
        <v>50000000</v>
      </c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43"/>
      <c r="AA70" s="21">
        <f t="shared" ref="AA70:AA75" si="54">10000000</f>
        <v>10000000</v>
      </c>
      <c r="AB70" s="21"/>
      <c r="AC70" s="21"/>
      <c r="AD70" s="21"/>
      <c r="AE70" s="21"/>
      <c r="AF70" s="21"/>
      <c r="AG70" s="23">
        <f t="shared" ref="AG70:AG129" si="55">AH70/G70</f>
        <v>0.62456328333333333</v>
      </c>
      <c r="AH70" s="21">
        <f t="shared" si="41"/>
        <v>37473797</v>
      </c>
      <c r="AI70" s="21"/>
      <c r="AJ70" s="21">
        <f>+'[1]Acuerdo PLAN INVERSIÓN 2021'!$J$5806</f>
        <v>37473797</v>
      </c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3">
        <f t="shared" si="13"/>
        <v>0.37543671666666667</v>
      </c>
      <c r="BG70" s="21">
        <f t="shared" si="42"/>
        <v>22526203</v>
      </c>
      <c r="BH70" s="21">
        <f t="shared" si="52"/>
        <v>0</v>
      </c>
      <c r="BI70" s="21">
        <f t="shared" si="52"/>
        <v>12526203</v>
      </c>
      <c r="BJ70" s="21">
        <f t="shared" si="52"/>
        <v>0</v>
      </c>
      <c r="BK70" s="21">
        <f t="shared" si="52"/>
        <v>0</v>
      </c>
      <c r="BL70" s="21">
        <f t="shared" si="52"/>
        <v>0</v>
      </c>
      <c r="BM70" s="21">
        <f t="shared" si="52"/>
        <v>0</v>
      </c>
      <c r="BN70" s="21">
        <f t="shared" si="52"/>
        <v>0</v>
      </c>
      <c r="BO70" s="21">
        <f t="shared" si="52"/>
        <v>0</v>
      </c>
      <c r="BP70" s="21">
        <f t="shared" si="52"/>
        <v>0</v>
      </c>
      <c r="BQ70" s="21">
        <f t="shared" si="52"/>
        <v>0</v>
      </c>
      <c r="BR70" s="21">
        <f t="shared" si="52"/>
        <v>0</v>
      </c>
      <c r="BS70" s="21">
        <f t="shared" si="52"/>
        <v>0</v>
      </c>
      <c r="BT70" s="21">
        <f t="shared" si="52"/>
        <v>0</v>
      </c>
      <c r="BU70" s="21">
        <f t="shared" si="52"/>
        <v>0</v>
      </c>
      <c r="BV70" s="21">
        <f t="shared" si="52"/>
        <v>0</v>
      </c>
      <c r="BW70" s="21">
        <f t="shared" si="50"/>
        <v>0</v>
      </c>
      <c r="BX70" s="21">
        <f t="shared" si="44"/>
        <v>0</v>
      </c>
      <c r="BY70" s="21">
        <f t="shared" si="44"/>
        <v>10000000</v>
      </c>
      <c r="BZ70" s="21">
        <f t="shared" si="44"/>
        <v>0</v>
      </c>
      <c r="CA70" s="21">
        <f t="shared" si="44"/>
        <v>0</v>
      </c>
      <c r="CB70" s="21">
        <f t="shared" si="44"/>
        <v>0</v>
      </c>
      <c r="CC70" s="21">
        <f t="shared" si="44"/>
        <v>0</v>
      </c>
      <c r="CD70" s="21">
        <f t="shared" si="44"/>
        <v>0</v>
      </c>
      <c r="CE70" s="23">
        <f t="shared" ref="CE70:CE129" si="56">CF70/G70</f>
        <v>0.62456328333333333</v>
      </c>
      <c r="CF70" s="21">
        <f t="shared" si="45"/>
        <v>37473797</v>
      </c>
      <c r="CG70" s="21"/>
      <c r="CH70" s="21">
        <f>+'[1]Acuerdo PLAN INVERSIÓN 2021'!$H$5804</f>
        <v>37473797</v>
      </c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3">
        <f t="shared" ref="DD70:DD129" si="57">1-CE70</f>
        <v>0.37543671666666667</v>
      </c>
      <c r="DE70" s="21">
        <f t="shared" si="46"/>
        <v>22526203</v>
      </c>
      <c r="DF70" s="21">
        <f t="shared" si="53"/>
        <v>0</v>
      </c>
      <c r="DG70" s="21">
        <f t="shared" si="53"/>
        <v>12526203</v>
      </c>
      <c r="DH70" s="21">
        <f t="shared" si="53"/>
        <v>0</v>
      </c>
      <c r="DI70" s="21">
        <f t="shared" si="53"/>
        <v>0</v>
      </c>
      <c r="DJ70" s="21">
        <f t="shared" si="53"/>
        <v>0</v>
      </c>
      <c r="DK70" s="21">
        <f t="shared" si="53"/>
        <v>0</v>
      </c>
      <c r="DL70" s="21">
        <f t="shared" si="53"/>
        <v>0</v>
      </c>
      <c r="DM70" s="21">
        <f t="shared" si="53"/>
        <v>0</v>
      </c>
      <c r="DN70" s="21">
        <f t="shared" si="53"/>
        <v>0</v>
      </c>
      <c r="DO70" s="21">
        <f t="shared" si="53"/>
        <v>0</v>
      </c>
      <c r="DP70" s="21">
        <f t="shared" si="53"/>
        <v>0</v>
      </c>
      <c r="DQ70" s="21">
        <f t="shared" si="53"/>
        <v>0</v>
      </c>
      <c r="DR70" s="21">
        <f t="shared" si="53"/>
        <v>0</v>
      </c>
      <c r="DS70" s="21">
        <f t="shared" si="53"/>
        <v>0</v>
      </c>
      <c r="DT70" s="21">
        <f t="shared" si="53"/>
        <v>0</v>
      </c>
      <c r="DU70" s="21">
        <f t="shared" si="51"/>
        <v>0</v>
      </c>
      <c r="DV70" s="21">
        <f t="shared" si="48"/>
        <v>0</v>
      </c>
      <c r="DW70" s="21">
        <f t="shared" si="48"/>
        <v>10000000</v>
      </c>
      <c r="DX70" s="21">
        <f t="shared" si="48"/>
        <v>0</v>
      </c>
      <c r="DY70" s="21">
        <f t="shared" si="48"/>
        <v>0</v>
      </c>
      <c r="DZ70" s="21">
        <f t="shared" si="48"/>
        <v>0</v>
      </c>
      <c r="EA70" s="21">
        <f t="shared" si="48"/>
        <v>0</v>
      </c>
      <c r="EB70" s="21">
        <f t="shared" si="48"/>
        <v>0</v>
      </c>
      <c r="ED70" s="27">
        <f t="shared" ref="ED70:ED129" si="58">+G70</f>
        <v>60000000</v>
      </c>
      <c r="EE70" s="27">
        <f t="shared" si="15"/>
        <v>60000000</v>
      </c>
      <c r="EF70" s="27">
        <f t="shared" si="16"/>
        <v>60000000</v>
      </c>
    </row>
    <row r="71" spans="1:136" ht="35.25" customHeight="1" x14ac:dyDescent="0.3">
      <c r="A71" s="175"/>
      <c r="B71" s="172"/>
      <c r="C71" s="33" t="s">
        <v>223</v>
      </c>
      <c r="D71" s="18" t="s">
        <v>224</v>
      </c>
      <c r="E71" s="19">
        <v>520</v>
      </c>
      <c r="F71" s="20" t="s">
        <v>225</v>
      </c>
      <c r="G71" s="21">
        <f t="shared" si="40"/>
        <v>216876230</v>
      </c>
      <c r="H71" s="22">
        <v>167900000</v>
      </c>
      <c r="I71" s="22">
        <f t="shared" si="49"/>
        <v>-48976230</v>
      </c>
      <c r="J71" s="41"/>
      <c r="K71" s="21">
        <f>50000000+10000000</f>
        <v>60000000</v>
      </c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43"/>
      <c r="AA71" s="21">
        <f t="shared" si="54"/>
        <v>10000000</v>
      </c>
      <c r="AB71" s="21">
        <v>44686667</v>
      </c>
      <c r="AC71" s="21"/>
      <c r="AD71" s="21"/>
      <c r="AE71" s="21"/>
      <c r="AF71" s="21">
        <f>50000000+4700669+5000000+4500000+15000000+8268206+9720688+5000000</f>
        <v>102189563</v>
      </c>
      <c r="AG71" s="23">
        <f t="shared" si="55"/>
        <v>0.91983224717618894</v>
      </c>
      <c r="AH71" s="21">
        <f t="shared" si="41"/>
        <v>199489750</v>
      </c>
      <c r="AI71" s="21"/>
      <c r="AJ71" s="21">
        <f>+'[4]Acuerdo PLAN INVERSIÓN 2021'!$J$2325</f>
        <v>60000000</v>
      </c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>
        <f>+'[1]Acuerdo PLAN INVERSIÓN 2021'!$X$5858</f>
        <v>9914671</v>
      </c>
      <c r="BA71" s="21">
        <f>+'[1]Acuerdo PLAN INVERSIÓN 2021'!$Y$5858</f>
        <v>44686498</v>
      </c>
      <c r="BB71" s="21"/>
      <c r="BC71" s="21"/>
      <c r="BD71" s="21"/>
      <c r="BE71" s="21">
        <f>+'[1]Acuerdo PLAN INVERSIÓN 2021'!$AF$5858</f>
        <v>84888581</v>
      </c>
      <c r="BF71" s="23">
        <f t="shared" ref="BF71:BF129" si="59">1-AG71</f>
        <v>8.0167752823811056E-2</v>
      </c>
      <c r="BG71" s="21">
        <f t="shared" si="42"/>
        <v>17386480</v>
      </c>
      <c r="BH71" s="21">
        <f t="shared" si="52"/>
        <v>0</v>
      </c>
      <c r="BI71" s="21">
        <f t="shared" si="52"/>
        <v>0</v>
      </c>
      <c r="BJ71" s="21">
        <f t="shared" si="52"/>
        <v>0</v>
      </c>
      <c r="BK71" s="21">
        <f t="shared" si="52"/>
        <v>0</v>
      </c>
      <c r="BL71" s="21">
        <f t="shared" si="52"/>
        <v>0</v>
      </c>
      <c r="BM71" s="21">
        <f t="shared" si="52"/>
        <v>0</v>
      </c>
      <c r="BN71" s="21">
        <f t="shared" si="52"/>
        <v>0</v>
      </c>
      <c r="BO71" s="21">
        <f t="shared" si="52"/>
        <v>0</v>
      </c>
      <c r="BP71" s="21">
        <f t="shared" si="52"/>
        <v>0</v>
      </c>
      <c r="BQ71" s="21">
        <f t="shared" si="52"/>
        <v>0</v>
      </c>
      <c r="BR71" s="21">
        <f t="shared" si="52"/>
        <v>0</v>
      </c>
      <c r="BS71" s="21">
        <f t="shared" si="52"/>
        <v>0</v>
      </c>
      <c r="BT71" s="21">
        <f t="shared" si="52"/>
        <v>0</v>
      </c>
      <c r="BU71" s="21">
        <f t="shared" si="52"/>
        <v>0</v>
      </c>
      <c r="BV71" s="21">
        <f t="shared" si="52"/>
        <v>0</v>
      </c>
      <c r="BW71" s="21">
        <f t="shared" si="50"/>
        <v>0</v>
      </c>
      <c r="BX71" s="21">
        <f t="shared" si="44"/>
        <v>0</v>
      </c>
      <c r="BY71" s="21">
        <f t="shared" si="44"/>
        <v>85329</v>
      </c>
      <c r="BZ71" s="21">
        <f t="shared" si="44"/>
        <v>169</v>
      </c>
      <c r="CA71" s="21">
        <f t="shared" si="44"/>
        <v>0</v>
      </c>
      <c r="CB71" s="21">
        <f t="shared" si="44"/>
        <v>0</v>
      </c>
      <c r="CC71" s="21">
        <f t="shared" si="44"/>
        <v>0</v>
      </c>
      <c r="CD71" s="21">
        <f t="shared" si="44"/>
        <v>17300982</v>
      </c>
      <c r="CE71" s="23">
        <f t="shared" si="56"/>
        <v>0.91983224717618894</v>
      </c>
      <c r="CF71" s="21">
        <f t="shared" si="45"/>
        <v>199489750</v>
      </c>
      <c r="CG71" s="21"/>
      <c r="CH71" s="21">
        <f>+'[4]Acuerdo PLAN INVERSIÓN 2021'!$J$2325</f>
        <v>60000000</v>
      </c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>
        <f>+'[1]Acuerdo PLAN INVERSIÓN 2021'!$X$5858</f>
        <v>9914671</v>
      </c>
      <c r="CY71" s="21">
        <f>+'[1]Acuerdo PLAN INVERSIÓN 2021'!$Y$5858</f>
        <v>44686498</v>
      </c>
      <c r="CZ71" s="21"/>
      <c r="DA71" s="21"/>
      <c r="DB71" s="21"/>
      <c r="DC71" s="21">
        <f>+'[1]Acuerdo PLAN INVERSIÓN 2021'!$AF$5858</f>
        <v>84888581</v>
      </c>
      <c r="DD71" s="23">
        <f t="shared" si="57"/>
        <v>8.0167752823811056E-2</v>
      </c>
      <c r="DE71" s="21">
        <f t="shared" si="46"/>
        <v>17386480</v>
      </c>
      <c r="DF71" s="21">
        <f t="shared" si="53"/>
        <v>0</v>
      </c>
      <c r="DG71" s="21">
        <f t="shared" si="53"/>
        <v>0</v>
      </c>
      <c r="DH71" s="21">
        <f t="shared" si="53"/>
        <v>0</v>
      </c>
      <c r="DI71" s="21">
        <f t="shared" si="53"/>
        <v>0</v>
      </c>
      <c r="DJ71" s="21">
        <f t="shared" si="53"/>
        <v>0</v>
      </c>
      <c r="DK71" s="21">
        <f t="shared" si="53"/>
        <v>0</v>
      </c>
      <c r="DL71" s="21">
        <f t="shared" si="53"/>
        <v>0</v>
      </c>
      <c r="DM71" s="21">
        <f t="shared" si="53"/>
        <v>0</v>
      </c>
      <c r="DN71" s="21">
        <f t="shared" si="53"/>
        <v>0</v>
      </c>
      <c r="DO71" s="21">
        <f t="shared" si="53"/>
        <v>0</v>
      </c>
      <c r="DP71" s="21">
        <f t="shared" si="53"/>
        <v>0</v>
      </c>
      <c r="DQ71" s="21">
        <f t="shared" si="53"/>
        <v>0</v>
      </c>
      <c r="DR71" s="21">
        <f t="shared" si="53"/>
        <v>0</v>
      </c>
      <c r="DS71" s="21">
        <f t="shared" si="53"/>
        <v>0</v>
      </c>
      <c r="DT71" s="21">
        <f t="shared" si="53"/>
        <v>0</v>
      </c>
      <c r="DU71" s="21">
        <f t="shared" si="51"/>
        <v>0</v>
      </c>
      <c r="DV71" s="21">
        <f t="shared" si="48"/>
        <v>0</v>
      </c>
      <c r="DW71" s="21">
        <f t="shared" si="48"/>
        <v>85329</v>
      </c>
      <c r="DX71" s="21">
        <f t="shared" si="48"/>
        <v>169</v>
      </c>
      <c r="DY71" s="21">
        <f t="shared" si="48"/>
        <v>0</v>
      </c>
      <c r="DZ71" s="21">
        <f t="shared" si="48"/>
        <v>0</v>
      </c>
      <c r="EA71" s="21">
        <f t="shared" si="48"/>
        <v>0</v>
      </c>
      <c r="EB71" s="21">
        <f t="shared" si="48"/>
        <v>17300982</v>
      </c>
      <c r="ED71" s="27">
        <f t="shared" si="58"/>
        <v>216876230</v>
      </c>
      <c r="EE71" s="27">
        <f t="shared" ref="EE71:EE134" si="60">+AH71+BG71</f>
        <v>216876230</v>
      </c>
      <c r="EF71" s="27">
        <f t="shared" ref="EF71:EF134" si="61">+CF71+DE71</f>
        <v>216876230</v>
      </c>
    </row>
    <row r="72" spans="1:136" ht="36" customHeight="1" x14ac:dyDescent="0.3">
      <c r="A72" s="175"/>
      <c r="B72" s="171" t="s">
        <v>226</v>
      </c>
      <c r="C72" s="33" t="s">
        <v>227</v>
      </c>
      <c r="D72" s="18" t="s">
        <v>228</v>
      </c>
      <c r="E72" s="19">
        <v>520</v>
      </c>
      <c r="F72" s="20" t="s">
        <v>105</v>
      </c>
      <c r="G72" s="21">
        <f t="shared" si="40"/>
        <v>18000000</v>
      </c>
      <c r="H72" s="22">
        <v>130000000</v>
      </c>
      <c r="I72" s="22">
        <f t="shared" si="49"/>
        <v>112000000</v>
      </c>
      <c r="J72" s="41"/>
      <c r="K72" s="21">
        <f>20000000-12000000</f>
        <v>8000000</v>
      </c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43"/>
      <c r="AA72" s="21">
        <f t="shared" si="54"/>
        <v>10000000</v>
      </c>
      <c r="AB72" s="21"/>
      <c r="AC72" s="21"/>
      <c r="AD72" s="21"/>
      <c r="AE72" s="21"/>
      <c r="AF72" s="21"/>
      <c r="AG72" s="23">
        <f t="shared" si="55"/>
        <v>0.9999999444444444</v>
      </c>
      <c r="AH72" s="21">
        <f t="shared" si="41"/>
        <v>17999999</v>
      </c>
      <c r="AI72" s="21"/>
      <c r="AJ72" s="21">
        <f>+'[1]Acuerdo PLAN INVERSIÓN 2021'!$J$5931</f>
        <v>7999999</v>
      </c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>
        <f>+'[4]Acuerdo PLAN INVERSIÓN 2021'!$X$2364</f>
        <v>10000000</v>
      </c>
      <c r="BA72" s="21"/>
      <c r="BB72" s="21"/>
      <c r="BC72" s="21"/>
      <c r="BD72" s="21"/>
      <c r="BE72" s="21"/>
      <c r="BF72" s="23">
        <f t="shared" si="59"/>
        <v>5.5555555600328432E-8</v>
      </c>
      <c r="BG72" s="21">
        <f t="shared" si="42"/>
        <v>1</v>
      </c>
      <c r="BH72" s="21">
        <f t="shared" si="52"/>
        <v>0</v>
      </c>
      <c r="BI72" s="21">
        <f t="shared" si="52"/>
        <v>1</v>
      </c>
      <c r="BJ72" s="21">
        <f t="shared" si="52"/>
        <v>0</v>
      </c>
      <c r="BK72" s="21">
        <f t="shared" si="52"/>
        <v>0</v>
      </c>
      <c r="BL72" s="21">
        <f t="shared" si="52"/>
        <v>0</v>
      </c>
      <c r="BM72" s="21">
        <f t="shared" si="52"/>
        <v>0</v>
      </c>
      <c r="BN72" s="21">
        <f t="shared" si="52"/>
        <v>0</v>
      </c>
      <c r="BO72" s="21">
        <f t="shared" si="52"/>
        <v>0</v>
      </c>
      <c r="BP72" s="21">
        <f t="shared" si="52"/>
        <v>0</v>
      </c>
      <c r="BQ72" s="21">
        <f t="shared" si="52"/>
        <v>0</v>
      </c>
      <c r="BR72" s="21">
        <f t="shared" si="52"/>
        <v>0</v>
      </c>
      <c r="BS72" s="21">
        <f t="shared" si="52"/>
        <v>0</v>
      </c>
      <c r="BT72" s="21">
        <f t="shared" si="52"/>
        <v>0</v>
      </c>
      <c r="BU72" s="21">
        <f t="shared" si="52"/>
        <v>0</v>
      </c>
      <c r="BV72" s="21">
        <f t="shared" si="52"/>
        <v>0</v>
      </c>
      <c r="BW72" s="21">
        <f t="shared" si="50"/>
        <v>0</v>
      </c>
      <c r="BX72" s="21">
        <f t="shared" si="44"/>
        <v>0</v>
      </c>
      <c r="BY72" s="21">
        <f t="shared" si="44"/>
        <v>0</v>
      </c>
      <c r="BZ72" s="21">
        <f t="shared" si="44"/>
        <v>0</v>
      </c>
      <c r="CA72" s="21">
        <f t="shared" si="44"/>
        <v>0</v>
      </c>
      <c r="CB72" s="21">
        <f t="shared" si="44"/>
        <v>0</v>
      </c>
      <c r="CC72" s="21">
        <f t="shared" si="44"/>
        <v>0</v>
      </c>
      <c r="CD72" s="21">
        <f t="shared" si="44"/>
        <v>0</v>
      </c>
      <c r="CE72" s="23">
        <f t="shared" si="56"/>
        <v>0.9999999444444444</v>
      </c>
      <c r="CF72" s="21">
        <f t="shared" si="45"/>
        <v>17999999</v>
      </c>
      <c r="CG72" s="21"/>
      <c r="CH72" s="21">
        <f>+'[1]Acuerdo PLAN INVERSIÓN 2021'!$J$5931</f>
        <v>7999999</v>
      </c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>
        <f>+'[4]Acuerdo PLAN INVERSIÓN 2021'!$X$2364</f>
        <v>10000000</v>
      </c>
      <c r="CY72" s="21"/>
      <c r="CZ72" s="21"/>
      <c r="DA72" s="21"/>
      <c r="DB72" s="21"/>
      <c r="DC72" s="21"/>
      <c r="DD72" s="23">
        <f t="shared" si="57"/>
        <v>5.5555555600328432E-8</v>
      </c>
      <c r="DE72" s="21">
        <f t="shared" si="46"/>
        <v>1</v>
      </c>
      <c r="DF72" s="21">
        <f t="shared" si="53"/>
        <v>0</v>
      </c>
      <c r="DG72" s="21">
        <f t="shared" si="53"/>
        <v>1</v>
      </c>
      <c r="DH72" s="21">
        <f t="shared" si="53"/>
        <v>0</v>
      </c>
      <c r="DI72" s="21">
        <f t="shared" si="53"/>
        <v>0</v>
      </c>
      <c r="DJ72" s="21">
        <f t="shared" si="53"/>
        <v>0</v>
      </c>
      <c r="DK72" s="21">
        <f t="shared" si="53"/>
        <v>0</v>
      </c>
      <c r="DL72" s="21">
        <f t="shared" si="53"/>
        <v>0</v>
      </c>
      <c r="DM72" s="21">
        <f t="shared" si="53"/>
        <v>0</v>
      </c>
      <c r="DN72" s="21">
        <f t="shared" si="53"/>
        <v>0</v>
      </c>
      <c r="DO72" s="21">
        <f t="shared" si="53"/>
        <v>0</v>
      </c>
      <c r="DP72" s="21">
        <f t="shared" si="53"/>
        <v>0</v>
      </c>
      <c r="DQ72" s="21">
        <f t="shared" si="53"/>
        <v>0</v>
      </c>
      <c r="DR72" s="21">
        <f t="shared" si="53"/>
        <v>0</v>
      </c>
      <c r="DS72" s="21">
        <f t="shared" si="53"/>
        <v>0</v>
      </c>
      <c r="DT72" s="21">
        <f t="shared" si="53"/>
        <v>0</v>
      </c>
      <c r="DU72" s="21">
        <f t="shared" si="51"/>
        <v>0</v>
      </c>
      <c r="DV72" s="21">
        <f t="shared" si="48"/>
        <v>0</v>
      </c>
      <c r="DW72" s="21">
        <f t="shared" si="48"/>
        <v>0</v>
      </c>
      <c r="DX72" s="21">
        <f t="shared" si="48"/>
        <v>0</v>
      </c>
      <c r="DY72" s="21">
        <f t="shared" si="48"/>
        <v>0</v>
      </c>
      <c r="DZ72" s="21">
        <f t="shared" si="48"/>
        <v>0</v>
      </c>
      <c r="EA72" s="21">
        <f t="shared" si="48"/>
        <v>0</v>
      </c>
      <c r="EB72" s="21">
        <f t="shared" si="48"/>
        <v>0</v>
      </c>
      <c r="ED72" s="27">
        <f t="shared" si="58"/>
        <v>18000000</v>
      </c>
      <c r="EE72" s="27">
        <f t="shared" si="60"/>
        <v>18000000</v>
      </c>
      <c r="EF72" s="27">
        <f t="shared" si="61"/>
        <v>18000000</v>
      </c>
    </row>
    <row r="73" spans="1:136" ht="34.5" customHeight="1" x14ac:dyDescent="0.3">
      <c r="A73" s="175"/>
      <c r="B73" s="172"/>
      <c r="C73" s="33" t="s">
        <v>229</v>
      </c>
      <c r="D73" s="53" t="s">
        <v>230</v>
      </c>
      <c r="E73" s="19">
        <v>520</v>
      </c>
      <c r="F73" s="20" t="s">
        <v>105</v>
      </c>
      <c r="G73" s="21">
        <f t="shared" si="40"/>
        <v>15660000</v>
      </c>
      <c r="H73" s="22">
        <v>10000000</v>
      </c>
      <c r="I73" s="22">
        <f t="shared" si="49"/>
        <v>-5660000</v>
      </c>
      <c r="J73" s="41"/>
      <c r="K73" s="21">
        <f>5000000+10000000-15000000+5660000</f>
        <v>5660000</v>
      </c>
      <c r="L73" s="43"/>
      <c r="M73" s="43"/>
      <c r="N73" s="43"/>
      <c r="O73" s="43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43"/>
      <c r="AA73" s="21">
        <f t="shared" si="54"/>
        <v>10000000</v>
      </c>
      <c r="AB73" s="21"/>
      <c r="AC73" s="21"/>
      <c r="AD73" s="21"/>
      <c r="AE73" s="21"/>
      <c r="AF73" s="21"/>
      <c r="AG73" s="23">
        <f t="shared" si="55"/>
        <v>0.23563218390804597</v>
      </c>
      <c r="AH73" s="21">
        <f t="shared" si="41"/>
        <v>3690000</v>
      </c>
      <c r="AI73" s="21"/>
      <c r="AJ73" s="21">
        <f>+'[1]Acuerdo PLAN INVERSIÓN 2021'!$J$5945</f>
        <v>690000</v>
      </c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>
        <f>+'[1]Acuerdo PLAN INVERSIÓN 2021'!$X$5945</f>
        <v>3000000</v>
      </c>
      <c r="BA73" s="21"/>
      <c r="BB73" s="21"/>
      <c r="BC73" s="21"/>
      <c r="BD73" s="21"/>
      <c r="BE73" s="21"/>
      <c r="BF73" s="23">
        <f t="shared" si="59"/>
        <v>0.76436781609195403</v>
      </c>
      <c r="BG73" s="21">
        <f t="shared" si="42"/>
        <v>11970000</v>
      </c>
      <c r="BH73" s="21">
        <f t="shared" si="52"/>
        <v>0</v>
      </c>
      <c r="BI73" s="21">
        <f t="shared" si="52"/>
        <v>4970000</v>
      </c>
      <c r="BJ73" s="21">
        <f t="shared" si="52"/>
        <v>0</v>
      </c>
      <c r="BK73" s="21">
        <f t="shared" si="52"/>
        <v>0</v>
      </c>
      <c r="BL73" s="21">
        <f t="shared" si="52"/>
        <v>0</v>
      </c>
      <c r="BM73" s="21">
        <f t="shared" si="52"/>
        <v>0</v>
      </c>
      <c r="BN73" s="21">
        <f t="shared" si="52"/>
        <v>0</v>
      </c>
      <c r="BO73" s="21">
        <f t="shared" si="52"/>
        <v>0</v>
      </c>
      <c r="BP73" s="21">
        <f t="shared" si="52"/>
        <v>0</v>
      </c>
      <c r="BQ73" s="21">
        <f t="shared" si="52"/>
        <v>0</v>
      </c>
      <c r="BR73" s="21">
        <f t="shared" si="52"/>
        <v>0</v>
      </c>
      <c r="BS73" s="21">
        <f t="shared" si="52"/>
        <v>0</v>
      </c>
      <c r="BT73" s="21">
        <f t="shared" si="52"/>
        <v>0</v>
      </c>
      <c r="BU73" s="21">
        <f t="shared" si="52"/>
        <v>0</v>
      </c>
      <c r="BV73" s="21">
        <f t="shared" si="52"/>
        <v>0</v>
      </c>
      <c r="BW73" s="21">
        <f t="shared" si="50"/>
        <v>0</v>
      </c>
      <c r="BX73" s="21">
        <f t="shared" si="44"/>
        <v>0</v>
      </c>
      <c r="BY73" s="21">
        <f t="shared" si="44"/>
        <v>7000000</v>
      </c>
      <c r="BZ73" s="21">
        <f t="shared" si="44"/>
        <v>0</v>
      </c>
      <c r="CA73" s="21">
        <f t="shared" si="44"/>
        <v>0</v>
      </c>
      <c r="CB73" s="21">
        <f t="shared" si="44"/>
        <v>0</v>
      </c>
      <c r="CC73" s="21">
        <f t="shared" si="44"/>
        <v>0</v>
      </c>
      <c r="CD73" s="21">
        <f t="shared" si="44"/>
        <v>0</v>
      </c>
      <c r="CE73" s="23">
        <f t="shared" si="56"/>
        <v>0.23563218390804597</v>
      </c>
      <c r="CF73" s="21">
        <f t="shared" si="45"/>
        <v>3690000</v>
      </c>
      <c r="CG73" s="21"/>
      <c r="CH73" s="21">
        <f>+'[1]Acuerdo PLAN INVERSIÓN 2021'!$J$5945</f>
        <v>690000</v>
      </c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>
        <f>+'[1]Acuerdo PLAN INVERSIÓN 2021'!$X$5945</f>
        <v>3000000</v>
      </c>
      <c r="CY73" s="21"/>
      <c r="CZ73" s="21"/>
      <c r="DA73" s="21"/>
      <c r="DB73" s="21"/>
      <c r="DC73" s="21"/>
      <c r="DD73" s="23">
        <f t="shared" si="57"/>
        <v>0.76436781609195403</v>
      </c>
      <c r="DE73" s="21">
        <f t="shared" si="46"/>
        <v>11970000</v>
      </c>
      <c r="DF73" s="21">
        <f t="shared" si="53"/>
        <v>0</v>
      </c>
      <c r="DG73" s="21">
        <f t="shared" si="53"/>
        <v>4970000</v>
      </c>
      <c r="DH73" s="21">
        <f t="shared" si="53"/>
        <v>0</v>
      </c>
      <c r="DI73" s="21">
        <f t="shared" si="53"/>
        <v>0</v>
      </c>
      <c r="DJ73" s="21">
        <f t="shared" si="53"/>
        <v>0</v>
      </c>
      <c r="DK73" s="21">
        <f t="shared" si="53"/>
        <v>0</v>
      </c>
      <c r="DL73" s="21">
        <f t="shared" si="53"/>
        <v>0</v>
      </c>
      <c r="DM73" s="21">
        <f t="shared" si="53"/>
        <v>0</v>
      </c>
      <c r="DN73" s="21">
        <f t="shared" si="53"/>
        <v>0</v>
      </c>
      <c r="DO73" s="21">
        <f t="shared" si="53"/>
        <v>0</v>
      </c>
      <c r="DP73" s="21">
        <f t="shared" si="53"/>
        <v>0</v>
      </c>
      <c r="DQ73" s="21">
        <f t="shared" si="53"/>
        <v>0</v>
      </c>
      <c r="DR73" s="21">
        <f t="shared" si="53"/>
        <v>0</v>
      </c>
      <c r="DS73" s="21">
        <f t="shared" si="53"/>
        <v>0</v>
      </c>
      <c r="DT73" s="21">
        <f t="shared" si="53"/>
        <v>0</v>
      </c>
      <c r="DU73" s="21">
        <f t="shared" si="51"/>
        <v>0</v>
      </c>
      <c r="DV73" s="21">
        <f t="shared" si="48"/>
        <v>0</v>
      </c>
      <c r="DW73" s="21">
        <f t="shared" si="48"/>
        <v>7000000</v>
      </c>
      <c r="DX73" s="21">
        <f t="shared" si="48"/>
        <v>0</v>
      </c>
      <c r="DY73" s="21">
        <f t="shared" si="48"/>
        <v>0</v>
      </c>
      <c r="DZ73" s="21">
        <f t="shared" si="48"/>
        <v>0</v>
      </c>
      <c r="EA73" s="21">
        <f t="shared" si="48"/>
        <v>0</v>
      </c>
      <c r="EB73" s="21">
        <f t="shared" si="48"/>
        <v>0</v>
      </c>
      <c r="ED73" s="27">
        <f t="shared" si="58"/>
        <v>15660000</v>
      </c>
      <c r="EE73" s="27">
        <f t="shared" si="60"/>
        <v>15660000</v>
      </c>
      <c r="EF73" s="27">
        <f t="shared" si="61"/>
        <v>15660000</v>
      </c>
    </row>
    <row r="74" spans="1:136" ht="33" customHeight="1" x14ac:dyDescent="0.3">
      <c r="A74" s="175"/>
      <c r="B74" s="172"/>
      <c r="C74" s="33" t="s">
        <v>231</v>
      </c>
      <c r="D74" s="53" t="s">
        <v>232</v>
      </c>
      <c r="E74" s="19">
        <v>520</v>
      </c>
      <c r="F74" s="20" t="s">
        <v>105</v>
      </c>
      <c r="G74" s="21">
        <f t="shared" si="40"/>
        <v>10000000</v>
      </c>
      <c r="H74" s="22">
        <v>8000000</v>
      </c>
      <c r="I74" s="22">
        <f t="shared" si="49"/>
        <v>-2000000</v>
      </c>
      <c r="J74" s="41"/>
      <c r="K74" s="21"/>
      <c r="L74" s="43"/>
      <c r="M74" s="43"/>
      <c r="N74" s="43"/>
      <c r="O74" s="43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43"/>
      <c r="AA74" s="21">
        <f t="shared" si="54"/>
        <v>10000000</v>
      </c>
      <c r="AB74" s="21"/>
      <c r="AC74" s="21"/>
      <c r="AD74" s="21"/>
      <c r="AE74" s="21"/>
      <c r="AF74" s="21"/>
      <c r="AG74" s="23">
        <f t="shared" si="55"/>
        <v>0.49570750000000002</v>
      </c>
      <c r="AH74" s="21">
        <f t="shared" si="41"/>
        <v>4957075</v>
      </c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>
        <f>+'[1]Acuerdo PLAN INVERSIÓN 2021'!$X$5966</f>
        <v>4957075</v>
      </c>
      <c r="BA74" s="21"/>
      <c r="BB74" s="21"/>
      <c r="BC74" s="21"/>
      <c r="BD74" s="21"/>
      <c r="BE74" s="21"/>
      <c r="BF74" s="23">
        <f t="shared" si="59"/>
        <v>0.50429250000000003</v>
      </c>
      <c r="BG74" s="21">
        <f t="shared" si="42"/>
        <v>5042925</v>
      </c>
      <c r="BH74" s="21">
        <f t="shared" si="52"/>
        <v>0</v>
      </c>
      <c r="BI74" s="21">
        <f t="shared" si="52"/>
        <v>0</v>
      </c>
      <c r="BJ74" s="21">
        <f t="shared" si="52"/>
        <v>0</v>
      </c>
      <c r="BK74" s="21">
        <f t="shared" si="52"/>
        <v>0</v>
      </c>
      <c r="BL74" s="21">
        <f t="shared" si="52"/>
        <v>0</v>
      </c>
      <c r="BM74" s="21">
        <f t="shared" si="52"/>
        <v>0</v>
      </c>
      <c r="BN74" s="21">
        <f t="shared" si="52"/>
        <v>0</v>
      </c>
      <c r="BO74" s="21">
        <f t="shared" si="52"/>
        <v>0</v>
      </c>
      <c r="BP74" s="21">
        <f t="shared" si="52"/>
        <v>0</v>
      </c>
      <c r="BQ74" s="21">
        <f t="shared" si="52"/>
        <v>0</v>
      </c>
      <c r="BR74" s="21">
        <f t="shared" si="52"/>
        <v>0</v>
      </c>
      <c r="BS74" s="21">
        <f t="shared" si="52"/>
        <v>0</v>
      </c>
      <c r="BT74" s="21">
        <f t="shared" si="52"/>
        <v>0</v>
      </c>
      <c r="BU74" s="21">
        <f t="shared" si="52"/>
        <v>0</v>
      </c>
      <c r="BV74" s="21">
        <f t="shared" si="52"/>
        <v>0</v>
      </c>
      <c r="BW74" s="21">
        <f t="shared" si="50"/>
        <v>0</v>
      </c>
      <c r="BX74" s="21">
        <f t="shared" si="44"/>
        <v>0</v>
      </c>
      <c r="BY74" s="21">
        <f t="shared" si="44"/>
        <v>5042925</v>
      </c>
      <c r="BZ74" s="21">
        <f t="shared" si="44"/>
        <v>0</v>
      </c>
      <c r="CA74" s="21">
        <f t="shared" si="44"/>
        <v>0</v>
      </c>
      <c r="CB74" s="21">
        <f t="shared" si="44"/>
        <v>0</v>
      </c>
      <c r="CC74" s="21">
        <f t="shared" si="44"/>
        <v>0</v>
      </c>
      <c r="CD74" s="21">
        <f t="shared" si="44"/>
        <v>0</v>
      </c>
      <c r="CE74" s="23">
        <f t="shared" si="56"/>
        <v>0.49570750000000002</v>
      </c>
      <c r="CF74" s="21">
        <f t="shared" si="45"/>
        <v>4957075</v>
      </c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>
        <f>+'[1]Acuerdo PLAN INVERSIÓN 2021'!$X$5966</f>
        <v>4957075</v>
      </c>
      <c r="CY74" s="21"/>
      <c r="CZ74" s="21"/>
      <c r="DA74" s="21"/>
      <c r="DB74" s="21"/>
      <c r="DC74" s="21"/>
      <c r="DD74" s="23">
        <f t="shared" si="57"/>
        <v>0.50429250000000003</v>
      </c>
      <c r="DE74" s="21">
        <f t="shared" si="46"/>
        <v>5042925</v>
      </c>
      <c r="DF74" s="21">
        <f t="shared" si="53"/>
        <v>0</v>
      </c>
      <c r="DG74" s="21">
        <f t="shared" si="53"/>
        <v>0</v>
      </c>
      <c r="DH74" s="21">
        <f t="shared" si="53"/>
        <v>0</v>
      </c>
      <c r="DI74" s="21">
        <f t="shared" si="53"/>
        <v>0</v>
      </c>
      <c r="DJ74" s="21">
        <f t="shared" si="53"/>
        <v>0</v>
      </c>
      <c r="DK74" s="21">
        <f t="shared" si="53"/>
        <v>0</v>
      </c>
      <c r="DL74" s="21">
        <f t="shared" si="53"/>
        <v>0</v>
      </c>
      <c r="DM74" s="21">
        <f t="shared" si="53"/>
        <v>0</v>
      </c>
      <c r="DN74" s="21">
        <f t="shared" si="53"/>
        <v>0</v>
      </c>
      <c r="DO74" s="21">
        <f t="shared" si="53"/>
        <v>0</v>
      </c>
      <c r="DP74" s="21">
        <f t="shared" si="53"/>
        <v>0</v>
      </c>
      <c r="DQ74" s="21">
        <f t="shared" si="53"/>
        <v>0</v>
      </c>
      <c r="DR74" s="21">
        <f t="shared" si="53"/>
        <v>0</v>
      </c>
      <c r="DS74" s="21">
        <f t="shared" si="53"/>
        <v>0</v>
      </c>
      <c r="DT74" s="21">
        <f t="shared" si="53"/>
        <v>0</v>
      </c>
      <c r="DU74" s="21">
        <f t="shared" si="51"/>
        <v>0</v>
      </c>
      <c r="DV74" s="21">
        <f t="shared" si="48"/>
        <v>0</v>
      </c>
      <c r="DW74" s="21">
        <f t="shared" si="48"/>
        <v>5042925</v>
      </c>
      <c r="DX74" s="21">
        <f t="shared" si="48"/>
        <v>0</v>
      </c>
      <c r="DY74" s="21">
        <f t="shared" si="48"/>
        <v>0</v>
      </c>
      <c r="DZ74" s="21">
        <f t="shared" si="48"/>
        <v>0</v>
      </c>
      <c r="EA74" s="21">
        <f t="shared" si="48"/>
        <v>0</v>
      </c>
      <c r="EB74" s="21">
        <f t="shared" si="48"/>
        <v>0</v>
      </c>
      <c r="ED74" s="27">
        <f t="shared" si="58"/>
        <v>10000000</v>
      </c>
      <c r="EE74" s="27">
        <f t="shared" si="60"/>
        <v>10000000</v>
      </c>
      <c r="EF74" s="27">
        <f t="shared" si="61"/>
        <v>10000000</v>
      </c>
    </row>
    <row r="75" spans="1:136" ht="36" customHeight="1" x14ac:dyDescent="0.3">
      <c r="A75" s="175"/>
      <c r="B75" s="173"/>
      <c r="C75" s="33" t="s">
        <v>233</v>
      </c>
      <c r="D75" s="53" t="s">
        <v>234</v>
      </c>
      <c r="E75" s="19">
        <v>520</v>
      </c>
      <c r="F75" s="20" t="s">
        <v>105</v>
      </c>
      <c r="G75" s="21">
        <f t="shared" si="40"/>
        <v>39340000</v>
      </c>
      <c r="H75" s="22">
        <v>25000000</v>
      </c>
      <c r="I75" s="22">
        <f t="shared" si="49"/>
        <v>-14340000</v>
      </c>
      <c r="J75" s="41"/>
      <c r="K75" s="21">
        <f>30000000+5000000-5660000</f>
        <v>29340000</v>
      </c>
      <c r="L75" s="43"/>
      <c r="M75" s="43"/>
      <c r="N75" s="43"/>
      <c r="O75" s="43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43"/>
      <c r="AA75" s="21">
        <f t="shared" si="54"/>
        <v>10000000</v>
      </c>
      <c r="AB75" s="21"/>
      <c r="AC75" s="21"/>
      <c r="AD75" s="21"/>
      <c r="AE75" s="21"/>
      <c r="AF75" s="21"/>
      <c r="AG75" s="23">
        <f t="shared" si="55"/>
        <v>0.87290274529740719</v>
      </c>
      <c r="AH75" s="21">
        <f t="shared" si="41"/>
        <v>34339994</v>
      </c>
      <c r="AI75" s="21"/>
      <c r="AJ75" s="21">
        <f>+'[1]Acuerdo PLAN INVERSIÓN 2021'!$J$5975</f>
        <v>29339994</v>
      </c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>
        <f>+'[1]Acuerdo PLAN INVERSIÓN 2021'!$X$5975</f>
        <v>5000000</v>
      </c>
      <c r="BA75" s="21"/>
      <c r="BB75" s="21"/>
      <c r="BC75" s="21"/>
      <c r="BD75" s="21"/>
      <c r="BE75" s="21"/>
      <c r="BF75" s="23">
        <f t="shared" si="59"/>
        <v>0.12709725470259281</v>
      </c>
      <c r="BG75" s="21">
        <f t="shared" si="42"/>
        <v>5000006</v>
      </c>
      <c r="BH75" s="21">
        <f t="shared" si="52"/>
        <v>0</v>
      </c>
      <c r="BI75" s="21">
        <f t="shared" si="52"/>
        <v>6</v>
      </c>
      <c r="BJ75" s="21">
        <f t="shared" si="52"/>
        <v>0</v>
      </c>
      <c r="BK75" s="21">
        <f t="shared" si="52"/>
        <v>0</v>
      </c>
      <c r="BL75" s="21">
        <f t="shared" si="52"/>
        <v>0</v>
      </c>
      <c r="BM75" s="21">
        <f t="shared" si="52"/>
        <v>0</v>
      </c>
      <c r="BN75" s="21">
        <f t="shared" si="52"/>
        <v>0</v>
      </c>
      <c r="BO75" s="21">
        <f t="shared" si="52"/>
        <v>0</v>
      </c>
      <c r="BP75" s="21">
        <f t="shared" si="52"/>
        <v>0</v>
      </c>
      <c r="BQ75" s="21">
        <f t="shared" si="52"/>
        <v>0</v>
      </c>
      <c r="BR75" s="21">
        <f t="shared" si="52"/>
        <v>0</v>
      </c>
      <c r="BS75" s="21">
        <f t="shared" si="52"/>
        <v>0</v>
      </c>
      <c r="BT75" s="21">
        <f t="shared" si="52"/>
        <v>0</v>
      </c>
      <c r="BU75" s="21">
        <f t="shared" si="52"/>
        <v>0</v>
      </c>
      <c r="BV75" s="21">
        <f t="shared" si="52"/>
        <v>0</v>
      </c>
      <c r="BW75" s="21">
        <f t="shared" si="50"/>
        <v>0</v>
      </c>
      <c r="BX75" s="21">
        <f t="shared" si="44"/>
        <v>0</v>
      </c>
      <c r="BY75" s="21">
        <f t="shared" si="44"/>
        <v>5000000</v>
      </c>
      <c r="BZ75" s="21">
        <f t="shared" si="44"/>
        <v>0</v>
      </c>
      <c r="CA75" s="21">
        <f t="shared" si="44"/>
        <v>0</v>
      </c>
      <c r="CB75" s="21">
        <f t="shared" si="44"/>
        <v>0</v>
      </c>
      <c r="CC75" s="21">
        <f t="shared" si="44"/>
        <v>0</v>
      </c>
      <c r="CD75" s="21">
        <f t="shared" si="44"/>
        <v>0</v>
      </c>
      <c r="CE75" s="23">
        <f t="shared" si="56"/>
        <v>0.87290274529740719</v>
      </c>
      <c r="CF75" s="21">
        <f t="shared" si="45"/>
        <v>34339994</v>
      </c>
      <c r="CG75" s="21"/>
      <c r="CH75" s="21">
        <f>+'[1]Acuerdo PLAN INVERSIÓN 2021'!$J$5975</f>
        <v>29339994</v>
      </c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>
        <f>+'[1]Acuerdo PLAN INVERSIÓN 2021'!$X$5975</f>
        <v>5000000</v>
      </c>
      <c r="CY75" s="21"/>
      <c r="CZ75" s="21"/>
      <c r="DA75" s="21"/>
      <c r="DB75" s="21"/>
      <c r="DC75" s="21"/>
      <c r="DD75" s="23">
        <f t="shared" si="57"/>
        <v>0.12709725470259281</v>
      </c>
      <c r="DE75" s="21">
        <f t="shared" si="46"/>
        <v>5000006</v>
      </c>
      <c r="DF75" s="21">
        <f t="shared" si="53"/>
        <v>0</v>
      </c>
      <c r="DG75" s="21">
        <f t="shared" si="53"/>
        <v>6</v>
      </c>
      <c r="DH75" s="21">
        <f t="shared" si="53"/>
        <v>0</v>
      </c>
      <c r="DI75" s="21">
        <f t="shared" si="53"/>
        <v>0</v>
      </c>
      <c r="DJ75" s="21">
        <f t="shared" si="53"/>
        <v>0</v>
      </c>
      <c r="DK75" s="21">
        <f t="shared" si="53"/>
        <v>0</v>
      </c>
      <c r="DL75" s="21">
        <f t="shared" si="53"/>
        <v>0</v>
      </c>
      <c r="DM75" s="21">
        <f t="shared" si="53"/>
        <v>0</v>
      </c>
      <c r="DN75" s="21">
        <f t="shared" si="53"/>
        <v>0</v>
      </c>
      <c r="DO75" s="21">
        <f t="shared" si="53"/>
        <v>0</v>
      </c>
      <c r="DP75" s="21">
        <f t="shared" si="53"/>
        <v>0</v>
      </c>
      <c r="DQ75" s="21">
        <f t="shared" si="53"/>
        <v>0</v>
      </c>
      <c r="DR75" s="21">
        <f t="shared" si="53"/>
        <v>0</v>
      </c>
      <c r="DS75" s="21">
        <f t="shared" si="53"/>
        <v>0</v>
      </c>
      <c r="DT75" s="21">
        <f t="shared" si="53"/>
        <v>0</v>
      </c>
      <c r="DU75" s="21">
        <f t="shared" si="51"/>
        <v>0</v>
      </c>
      <c r="DV75" s="21">
        <f t="shared" si="48"/>
        <v>0</v>
      </c>
      <c r="DW75" s="21">
        <f t="shared" si="48"/>
        <v>5000000</v>
      </c>
      <c r="DX75" s="21">
        <f t="shared" si="48"/>
        <v>0</v>
      </c>
      <c r="DY75" s="21">
        <f t="shared" si="48"/>
        <v>0</v>
      </c>
      <c r="DZ75" s="21">
        <f t="shared" si="48"/>
        <v>0</v>
      </c>
      <c r="EA75" s="21">
        <f t="shared" si="48"/>
        <v>0</v>
      </c>
      <c r="EB75" s="21">
        <f t="shared" si="48"/>
        <v>0</v>
      </c>
      <c r="ED75" s="27">
        <f t="shared" si="58"/>
        <v>39340000</v>
      </c>
      <c r="EE75" s="27">
        <f t="shared" si="60"/>
        <v>39340000</v>
      </c>
      <c r="EF75" s="27">
        <f t="shared" si="61"/>
        <v>39340000</v>
      </c>
    </row>
    <row r="76" spans="1:136" ht="24.75" customHeight="1" x14ac:dyDescent="0.3">
      <c r="A76" s="175"/>
      <c r="B76" s="54" t="s">
        <v>235</v>
      </c>
      <c r="C76" s="33" t="s">
        <v>236</v>
      </c>
      <c r="D76" s="54" t="s">
        <v>237</v>
      </c>
      <c r="E76" s="19">
        <v>520</v>
      </c>
      <c r="F76" s="20" t="s">
        <v>105</v>
      </c>
      <c r="G76" s="21">
        <f t="shared" si="40"/>
        <v>0</v>
      </c>
      <c r="H76" s="22">
        <v>173643500</v>
      </c>
      <c r="I76" s="22">
        <f t="shared" si="49"/>
        <v>173643500</v>
      </c>
      <c r="J76" s="41"/>
      <c r="K76" s="21">
        <f>1000000-1000000</f>
        <v>0</v>
      </c>
      <c r="L76" s="43"/>
      <c r="M76" s="43"/>
      <c r="N76" s="55"/>
      <c r="O76" s="43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3"/>
      <c r="AA76" s="21"/>
      <c r="AB76" s="21"/>
      <c r="AC76" s="41"/>
      <c r="AD76" s="41"/>
      <c r="AE76" s="41"/>
      <c r="AF76" s="21"/>
      <c r="AG76" s="23" t="e">
        <f t="shared" si="55"/>
        <v>#DIV/0!</v>
      </c>
      <c r="AH76" s="21">
        <f t="shared" si="41"/>
        <v>0</v>
      </c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3" t="e">
        <f t="shared" si="59"/>
        <v>#DIV/0!</v>
      </c>
      <c r="BG76" s="21">
        <f t="shared" si="42"/>
        <v>0</v>
      </c>
      <c r="BH76" s="21">
        <f t="shared" si="52"/>
        <v>0</v>
      </c>
      <c r="BI76" s="21">
        <f t="shared" si="52"/>
        <v>0</v>
      </c>
      <c r="BJ76" s="21">
        <f t="shared" si="52"/>
        <v>0</v>
      </c>
      <c r="BK76" s="21">
        <f t="shared" si="52"/>
        <v>0</v>
      </c>
      <c r="BL76" s="21">
        <f t="shared" si="52"/>
        <v>0</v>
      </c>
      <c r="BM76" s="21">
        <f t="shared" si="52"/>
        <v>0</v>
      </c>
      <c r="BN76" s="21">
        <f t="shared" si="52"/>
        <v>0</v>
      </c>
      <c r="BO76" s="21">
        <f t="shared" si="52"/>
        <v>0</v>
      </c>
      <c r="BP76" s="21">
        <f t="shared" si="52"/>
        <v>0</v>
      </c>
      <c r="BQ76" s="21">
        <f t="shared" si="52"/>
        <v>0</v>
      </c>
      <c r="BR76" s="21">
        <f t="shared" si="52"/>
        <v>0</v>
      </c>
      <c r="BS76" s="21">
        <f t="shared" si="52"/>
        <v>0</v>
      </c>
      <c r="BT76" s="21">
        <f t="shared" si="52"/>
        <v>0</v>
      </c>
      <c r="BU76" s="21">
        <f t="shared" si="52"/>
        <v>0</v>
      </c>
      <c r="BV76" s="21">
        <f t="shared" si="52"/>
        <v>0</v>
      </c>
      <c r="BW76" s="21">
        <f t="shared" si="50"/>
        <v>0</v>
      </c>
      <c r="BX76" s="21">
        <f t="shared" si="44"/>
        <v>0</v>
      </c>
      <c r="BY76" s="21">
        <f t="shared" si="44"/>
        <v>0</v>
      </c>
      <c r="BZ76" s="21">
        <f t="shared" si="44"/>
        <v>0</v>
      </c>
      <c r="CA76" s="21">
        <f t="shared" si="44"/>
        <v>0</v>
      </c>
      <c r="CB76" s="21">
        <f t="shared" si="44"/>
        <v>0</v>
      </c>
      <c r="CC76" s="21">
        <f t="shared" si="44"/>
        <v>0</v>
      </c>
      <c r="CD76" s="21">
        <f t="shared" si="44"/>
        <v>0</v>
      </c>
      <c r="CE76" s="23">
        <v>0</v>
      </c>
      <c r="CF76" s="21">
        <f t="shared" si="45"/>
        <v>0</v>
      </c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3">
        <f t="shared" si="57"/>
        <v>1</v>
      </c>
      <c r="DE76" s="21">
        <f t="shared" si="46"/>
        <v>0</v>
      </c>
      <c r="DF76" s="21">
        <f t="shared" si="53"/>
        <v>0</v>
      </c>
      <c r="DG76" s="21">
        <f t="shared" si="53"/>
        <v>0</v>
      </c>
      <c r="DH76" s="21">
        <f t="shared" si="53"/>
        <v>0</v>
      </c>
      <c r="DI76" s="21">
        <f t="shared" si="53"/>
        <v>0</v>
      </c>
      <c r="DJ76" s="21">
        <f t="shared" si="53"/>
        <v>0</v>
      </c>
      <c r="DK76" s="21">
        <f t="shared" si="53"/>
        <v>0</v>
      </c>
      <c r="DL76" s="21">
        <f t="shared" si="53"/>
        <v>0</v>
      </c>
      <c r="DM76" s="21">
        <f t="shared" si="53"/>
        <v>0</v>
      </c>
      <c r="DN76" s="21">
        <f t="shared" si="53"/>
        <v>0</v>
      </c>
      <c r="DO76" s="21">
        <f t="shared" si="53"/>
        <v>0</v>
      </c>
      <c r="DP76" s="21">
        <f t="shared" si="53"/>
        <v>0</v>
      </c>
      <c r="DQ76" s="21">
        <f t="shared" si="53"/>
        <v>0</v>
      </c>
      <c r="DR76" s="21">
        <f t="shared" si="53"/>
        <v>0</v>
      </c>
      <c r="DS76" s="21">
        <f t="shared" si="53"/>
        <v>0</v>
      </c>
      <c r="DT76" s="21">
        <f t="shared" si="53"/>
        <v>0</v>
      </c>
      <c r="DU76" s="21">
        <f t="shared" si="51"/>
        <v>0</v>
      </c>
      <c r="DV76" s="21">
        <f t="shared" si="48"/>
        <v>0</v>
      </c>
      <c r="DW76" s="21">
        <f t="shared" si="48"/>
        <v>0</v>
      </c>
      <c r="DX76" s="21">
        <f t="shared" si="48"/>
        <v>0</v>
      </c>
      <c r="DY76" s="21">
        <f t="shared" si="48"/>
        <v>0</v>
      </c>
      <c r="DZ76" s="21">
        <f t="shared" si="48"/>
        <v>0</v>
      </c>
      <c r="EA76" s="21">
        <f t="shared" si="48"/>
        <v>0</v>
      </c>
      <c r="EB76" s="21">
        <f t="shared" si="48"/>
        <v>0</v>
      </c>
      <c r="ED76" s="27">
        <f t="shared" si="58"/>
        <v>0</v>
      </c>
      <c r="EE76" s="27">
        <f t="shared" si="60"/>
        <v>0</v>
      </c>
      <c r="EF76" s="27">
        <f t="shared" si="61"/>
        <v>0</v>
      </c>
    </row>
    <row r="77" spans="1:136" s="38" customFormat="1" ht="16.95" customHeight="1" thickBot="1" x14ac:dyDescent="0.3">
      <c r="A77" s="56"/>
      <c r="B77" s="176" t="s">
        <v>238</v>
      </c>
      <c r="C77" s="177"/>
      <c r="D77" s="177"/>
      <c r="E77" s="177"/>
      <c r="F77" s="178"/>
      <c r="G77" s="125">
        <f t="shared" ref="G77:AF77" si="62">SUM(G51:G76)</f>
        <v>4269690683</v>
      </c>
      <c r="H77" s="126">
        <f t="shared" si="62"/>
        <v>6393503250</v>
      </c>
      <c r="I77" s="126">
        <f t="shared" si="62"/>
        <v>2123812567</v>
      </c>
      <c r="J77" s="125">
        <f t="shared" si="62"/>
        <v>0</v>
      </c>
      <c r="K77" s="125">
        <f t="shared" si="62"/>
        <v>1085174278</v>
      </c>
      <c r="L77" s="125">
        <f t="shared" si="62"/>
        <v>0</v>
      </c>
      <c r="M77" s="125">
        <f t="shared" si="62"/>
        <v>0</v>
      </c>
      <c r="N77" s="125">
        <f t="shared" si="62"/>
        <v>0</v>
      </c>
      <c r="O77" s="125">
        <f t="shared" si="62"/>
        <v>167645552</v>
      </c>
      <c r="P77" s="125">
        <f t="shared" si="62"/>
        <v>0</v>
      </c>
      <c r="Q77" s="125">
        <f t="shared" si="62"/>
        <v>0</v>
      </c>
      <c r="R77" s="125">
        <f t="shared" si="62"/>
        <v>0</v>
      </c>
      <c r="S77" s="125">
        <f t="shared" si="62"/>
        <v>0</v>
      </c>
      <c r="T77" s="125">
        <f t="shared" si="62"/>
        <v>0</v>
      </c>
      <c r="U77" s="125">
        <f t="shared" si="62"/>
        <v>0</v>
      </c>
      <c r="V77" s="125">
        <f t="shared" si="62"/>
        <v>0</v>
      </c>
      <c r="W77" s="125">
        <f t="shared" si="62"/>
        <v>0</v>
      </c>
      <c r="X77" s="125">
        <f t="shared" si="62"/>
        <v>0</v>
      </c>
      <c r="Y77" s="125">
        <f t="shared" si="62"/>
        <v>1374625000</v>
      </c>
      <c r="Z77" s="125">
        <f t="shared" si="62"/>
        <v>0</v>
      </c>
      <c r="AA77" s="125">
        <f t="shared" si="62"/>
        <v>427766866</v>
      </c>
      <c r="AB77" s="125">
        <f t="shared" si="62"/>
        <v>197412271</v>
      </c>
      <c r="AC77" s="125">
        <f t="shared" si="62"/>
        <v>0</v>
      </c>
      <c r="AD77" s="125">
        <f t="shared" si="62"/>
        <v>0</v>
      </c>
      <c r="AE77" s="125">
        <f t="shared" si="62"/>
        <v>0</v>
      </c>
      <c r="AF77" s="125">
        <f t="shared" si="62"/>
        <v>1017066716</v>
      </c>
      <c r="AG77" s="123">
        <f t="shared" si="55"/>
        <v>0.82320903549162328</v>
      </c>
      <c r="AH77" s="125">
        <f>SUM(AH51:AH76)</f>
        <v>3514847949</v>
      </c>
      <c r="AI77" s="125">
        <f>SUM(AI51:AI76)</f>
        <v>0</v>
      </c>
      <c r="AJ77" s="125">
        <f>SUM(AJ51:AJ76)</f>
        <v>922163651</v>
      </c>
      <c r="AK77" s="125">
        <f>SUM(AK51:AK76)</f>
        <v>0</v>
      </c>
      <c r="AL77" s="125"/>
      <c r="AM77" s="125">
        <f t="shared" ref="AM77:BE77" si="63">SUM(AM51:AM76)</f>
        <v>0</v>
      </c>
      <c r="AN77" s="125">
        <f t="shared" si="63"/>
        <v>139547293</v>
      </c>
      <c r="AO77" s="125">
        <f t="shared" si="63"/>
        <v>0</v>
      </c>
      <c r="AP77" s="125">
        <f t="shared" si="63"/>
        <v>0</v>
      </c>
      <c r="AQ77" s="125">
        <f t="shared" si="63"/>
        <v>0</v>
      </c>
      <c r="AR77" s="125">
        <f t="shared" si="63"/>
        <v>0</v>
      </c>
      <c r="AS77" s="125">
        <f t="shared" si="63"/>
        <v>0</v>
      </c>
      <c r="AT77" s="125">
        <f t="shared" si="63"/>
        <v>0</v>
      </c>
      <c r="AU77" s="125">
        <f t="shared" si="63"/>
        <v>0</v>
      </c>
      <c r="AV77" s="125">
        <f t="shared" si="63"/>
        <v>0</v>
      </c>
      <c r="AW77" s="125">
        <f t="shared" si="63"/>
        <v>0</v>
      </c>
      <c r="AX77" s="125">
        <f t="shared" si="63"/>
        <v>1185208501</v>
      </c>
      <c r="AY77" s="125">
        <f t="shared" si="63"/>
        <v>0</v>
      </c>
      <c r="AZ77" s="125">
        <f t="shared" si="63"/>
        <v>242028893</v>
      </c>
      <c r="BA77" s="125">
        <f t="shared" si="63"/>
        <v>188547760</v>
      </c>
      <c r="BB77" s="125">
        <f t="shared" si="63"/>
        <v>0</v>
      </c>
      <c r="BC77" s="125">
        <f t="shared" si="63"/>
        <v>0</v>
      </c>
      <c r="BD77" s="125">
        <f t="shared" si="63"/>
        <v>0</v>
      </c>
      <c r="BE77" s="125">
        <f t="shared" si="63"/>
        <v>837351851</v>
      </c>
      <c r="BF77" s="123">
        <f t="shared" si="59"/>
        <v>0.17679096450837672</v>
      </c>
      <c r="BG77" s="125">
        <f t="shared" ref="BG77:CD77" si="64">SUM(BG51:BG76)</f>
        <v>754842734</v>
      </c>
      <c r="BH77" s="125">
        <f t="shared" si="64"/>
        <v>0</v>
      </c>
      <c r="BI77" s="125">
        <f t="shared" si="64"/>
        <v>163010627</v>
      </c>
      <c r="BJ77" s="125">
        <f t="shared" si="64"/>
        <v>0</v>
      </c>
      <c r="BK77" s="125">
        <f t="shared" si="64"/>
        <v>0</v>
      </c>
      <c r="BL77" s="125">
        <f t="shared" si="64"/>
        <v>0</v>
      </c>
      <c r="BM77" s="125">
        <f t="shared" si="64"/>
        <v>28098259</v>
      </c>
      <c r="BN77" s="125">
        <f t="shared" si="64"/>
        <v>0</v>
      </c>
      <c r="BO77" s="125">
        <f t="shared" si="64"/>
        <v>0</v>
      </c>
      <c r="BP77" s="125">
        <f t="shared" si="64"/>
        <v>0</v>
      </c>
      <c r="BQ77" s="125">
        <f t="shared" si="64"/>
        <v>0</v>
      </c>
      <c r="BR77" s="125">
        <f t="shared" si="64"/>
        <v>0</v>
      </c>
      <c r="BS77" s="125">
        <f t="shared" si="64"/>
        <v>0</v>
      </c>
      <c r="BT77" s="125">
        <f t="shared" si="64"/>
        <v>0</v>
      </c>
      <c r="BU77" s="125">
        <f t="shared" si="64"/>
        <v>0</v>
      </c>
      <c r="BV77" s="125">
        <f t="shared" si="64"/>
        <v>0</v>
      </c>
      <c r="BW77" s="125">
        <f t="shared" si="64"/>
        <v>189416499</v>
      </c>
      <c r="BX77" s="125">
        <f t="shared" si="64"/>
        <v>0</v>
      </c>
      <c r="BY77" s="125">
        <f t="shared" si="64"/>
        <v>185737973</v>
      </c>
      <c r="BZ77" s="125">
        <f t="shared" si="64"/>
        <v>8864511</v>
      </c>
      <c r="CA77" s="125">
        <f t="shared" si="64"/>
        <v>0</v>
      </c>
      <c r="CB77" s="125">
        <f t="shared" si="64"/>
        <v>0</v>
      </c>
      <c r="CC77" s="125">
        <f t="shared" si="64"/>
        <v>0</v>
      </c>
      <c r="CD77" s="125">
        <f t="shared" si="64"/>
        <v>179714865</v>
      </c>
      <c r="CE77" s="121">
        <f t="shared" si="56"/>
        <v>0.82320903549162328</v>
      </c>
      <c r="CF77" s="125">
        <f>SUM(CF51:CF76)</f>
        <v>3514847949</v>
      </c>
      <c r="CG77" s="125">
        <f>SUM(CG51:CG76)</f>
        <v>0</v>
      </c>
      <c r="CH77" s="125">
        <f>SUM(CH51:CH76)</f>
        <v>922163651</v>
      </c>
      <c r="CI77" s="125">
        <f>SUM(CI51:CI76)</f>
        <v>0</v>
      </c>
      <c r="CJ77" s="125">
        <f>SUM(CJ51:CJ76)</f>
        <v>0</v>
      </c>
      <c r="CK77" s="125">
        <f t="shared" ref="CK77:DC77" si="65">SUM(CK51:CK76)</f>
        <v>0</v>
      </c>
      <c r="CL77" s="125">
        <f t="shared" si="65"/>
        <v>139547293</v>
      </c>
      <c r="CM77" s="125">
        <f t="shared" si="65"/>
        <v>0</v>
      </c>
      <c r="CN77" s="125">
        <f t="shared" si="65"/>
        <v>0</v>
      </c>
      <c r="CO77" s="125">
        <f t="shared" si="65"/>
        <v>0</v>
      </c>
      <c r="CP77" s="125">
        <f t="shared" si="65"/>
        <v>0</v>
      </c>
      <c r="CQ77" s="125">
        <f t="shared" si="65"/>
        <v>0</v>
      </c>
      <c r="CR77" s="125">
        <f t="shared" si="65"/>
        <v>0</v>
      </c>
      <c r="CS77" s="125">
        <f t="shared" si="65"/>
        <v>0</v>
      </c>
      <c r="CT77" s="125">
        <f t="shared" si="65"/>
        <v>0</v>
      </c>
      <c r="CU77" s="125">
        <f t="shared" si="65"/>
        <v>0</v>
      </c>
      <c r="CV77" s="125">
        <f t="shared" si="65"/>
        <v>1185208501</v>
      </c>
      <c r="CW77" s="125">
        <f t="shared" si="65"/>
        <v>0</v>
      </c>
      <c r="CX77" s="125">
        <f t="shared" si="65"/>
        <v>242028893</v>
      </c>
      <c r="CY77" s="125">
        <f t="shared" si="65"/>
        <v>188547760</v>
      </c>
      <c r="CZ77" s="125">
        <f t="shared" si="65"/>
        <v>0</v>
      </c>
      <c r="DA77" s="125">
        <f t="shared" si="65"/>
        <v>0</v>
      </c>
      <c r="DB77" s="125">
        <f t="shared" si="65"/>
        <v>0</v>
      </c>
      <c r="DC77" s="125">
        <f t="shared" si="65"/>
        <v>837351851</v>
      </c>
      <c r="DD77" s="123">
        <f t="shared" si="57"/>
        <v>0.17679096450837672</v>
      </c>
      <c r="DE77" s="127">
        <f t="shared" si="46"/>
        <v>754842734</v>
      </c>
      <c r="DF77" s="125">
        <f t="shared" ref="DF77:EB77" si="66">SUM(DF51:DF76)</f>
        <v>0</v>
      </c>
      <c r="DG77" s="125">
        <f t="shared" si="66"/>
        <v>163010627</v>
      </c>
      <c r="DH77" s="125">
        <f t="shared" si="66"/>
        <v>0</v>
      </c>
      <c r="DI77" s="125">
        <f t="shared" si="66"/>
        <v>0</v>
      </c>
      <c r="DJ77" s="125">
        <f t="shared" si="66"/>
        <v>0</v>
      </c>
      <c r="DK77" s="125">
        <f t="shared" si="66"/>
        <v>28098259</v>
      </c>
      <c r="DL77" s="125">
        <f t="shared" si="66"/>
        <v>0</v>
      </c>
      <c r="DM77" s="125">
        <f t="shared" si="66"/>
        <v>0</v>
      </c>
      <c r="DN77" s="125">
        <f t="shared" si="66"/>
        <v>0</v>
      </c>
      <c r="DO77" s="125">
        <f t="shared" si="66"/>
        <v>0</v>
      </c>
      <c r="DP77" s="125">
        <f t="shared" si="66"/>
        <v>0</v>
      </c>
      <c r="DQ77" s="125">
        <f t="shared" si="66"/>
        <v>0</v>
      </c>
      <c r="DR77" s="125">
        <f t="shared" si="66"/>
        <v>0</v>
      </c>
      <c r="DS77" s="125">
        <f t="shared" si="66"/>
        <v>0</v>
      </c>
      <c r="DT77" s="125">
        <f t="shared" si="66"/>
        <v>0</v>
      </c>
      <c r="DU77" s="125">
        <f t="shared" si="66"/>
        <v>189416499</v>
      </c>
      <c r="DV77" s="125">
        <f t="shared" si="66"/>
        <v>0</v>
      </c>
      <c r="DW77" s="125">
        <f t="shared" si="66"/>
        <v>185737973</v>
      </c>
      <c r="DX77" s="125">
        <f t="shared" si="66"/>
        <v>8864511</v>
      </c>
      <c r="DY77" s="125">
        <f t="shared" si="66"/>
        <v>0</v>
      </c>
      <c r="DZ77" s="125">
        <f t="shared" si="66"/>
        <v>0</v>
      </c>
      <c r="EA77" s="125">
        <f t="shared" si="66"/>
        <v>0</v>
      </c>
      <c r="EB77" s="125">
        <f t="shared" si="66"/>
        <v>179714865</v>
      </c>
      <c r="ED77" s="27">
        <f t="shared" si="58"/>
        <v>4269690683</v>
      </c>
      <c r="EE77" s="27">
        <f t="shared" si="60"/>
        <v>4269690683</v>
      </c>
      <c r="EF77" s="27">
        <f t="shared" si="61"/>
        <v>4269690683</v>
      </c>
    </row>
    <row r="78" spans="1:136" s="38" customFormat="1" ht="22.5" customHeight="1" thickTop="1" x14ac:dyDescent="0.3">
      <c r="A78" s="179" t="s">
        <v>239</v>
      </c>
      <c r="B78" s="182" t="s">
        <v>240</v>
      </c>
      <c r="C78" s="44" t="s">
        <v>241</v>
      </c>
      <c r="D78" s="29" t="s">
        <v>242</v>
      </c>
      <c r="E78" s="19">
        <v>301</v>
      </c>
      <c r="F78" s="20" t="s">
        <v>243</v>
      </c>
      <c r="G78" s="21">
        <f t="shared" ref="G78:G96" si="67">SUM(J78:AF78)</f>
        <v>144900000</v>
      </c>
      <c r="H78" s="22">
        <v>120000000</v>
      </c>
      <c r="I78" s="22">
        <f>H78-G78</f>
        <v>-24900000</v>
      </c>
      <c r="J78" s="21">
        <f>9900000</f>
        <v>9900000</v>
      </c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>
        <f>65000000</f>
        <v>65000000</v>
      </c>
      <c r="AB78" s="21"/>
      <c r="AC78" s="21">
        <v>70000000</v>
      </c>
      <c r="AD78" s="21"/>
      <c r="AE78" s="21"/>
      <c r="AF78" s="21"/>
      <c r="AG78" s="42">
        <f t="shared" si="55"/>
        <v>0.31874855762594895</v>
      </c>
      <c r="AH78" s="21">
        <f t="shared" si="41"/>
        <v>46186666</v>
      </c>
      <c r="AI78" s="21">
        <f>+'[1]Acuerdo PLAN INVERSIÓN 2021'!$L$5997</f>
        <v>9630000</v>
      </c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>
        <f>+'[1]Acuerdo PLAN INVERSIÓN 2021'!$AB$5997</f>
        <v>36556666</v>
      </c>
      <c r="BC78" s="21"/>
      <c r="BD78" s="21"/>
      <c r="BE78" s="21"/>
      <c r="BF78" s="23">
        <f t="shared" si="59"/>
        <v>0.681251442374051</v>
      </c>
      <c r="BG78" s="21">
        <f t="shared" ref="BG78:BG128" si="68">SUM(BH78:CD78)</f>
        <v>98713334</v>
      </c>
      <c r="BH78" s="21">
        <f t="shared" ref="BH78:BW93" si="69">+J78-AI78</f>
        <v>270000</v>
      </c>
      <c r="BI78" s="21">
        <f t="shared" si="69"/>
        <v>0</v>
      </c>
      <c r="BJ78" s="21">
        <f t="shared" si="69"/>
        <v>0</v>
      </c>
      <c r="BK78" s="21">
        <f t="shared" si="69"/>
        <v>0</v>
      </c>
      <c r="BL78" s="21">
        <f t="shared" si="69"/>
        <v>0</v>
      </c>
      <c r="BM78" s="21">
        <f t="shared" si="69"/>
        <v>0</v>
      </c>
      <c r="BN78" s="21">
        <f t="shared" si="69"/>
        <v>0</v>
      </c>
      <c r="BO78" s="21">
        <f t="shared" si="69"/>
        <v>0</v>
      </c>
      <c r="BP78" s="21">
        <f t="shared" si="69"/>
        <v>0</v>
      </c>
      <c r="BQ78" s="21">
        <f t="shared" si="69"/>
        <v>0</v>
      </c>
      <c r="BR78" s="21">
        <f t="shared" si="69"/>
        <v>0</v>
      </c>
      <c r="BS78" s="21">
        <f t="shared" si="69"/>
        <v>0</v>
      </c>
      <c r="BT78" s="21">
        <f t="shared" si="69"/>
        <v>0</v>
      </c>
      <c r="BU78" s="21">
        <f t="shared" si="69"/>
        <v>0</v>
      </c>
      <c r="BV78" s="21">
        <f t="shared" si="69"/>
        <v>0</v>
      </c>
      <c r="BW78" s="21">
        <f t="shared" si="69"/>
        <v>0</v>
      </c>
      <c r="BX78" s="21">
        <f t="shared" ref="BX78:CD96" si="70">+Z78-AY78</f>
        <v>0</v>
      </c>
      <c r="BY78" s="21">
        <f t="shared" si="70"/>
        <v>65000000</v>
      </c>
      <c r="BZ78" s="21">
        <f t="shared" si="70"/>
        <v>0</v>
      </c>
      <c r="CA78" s="21">
        <f t="shared" si="70"/>
        <v>33443334</v>
      </c>
      <c r="CB78" s="21">
        <f t="shared" si="70"/>
        <v>0</v>
      </c>
      <c r="CC78" s="21">
        <f t="shared" si="70"/>
        <v>0</v>
      </c>
      <c r="CD78" s="21">
        <f t="shared" si="70"/>
        <v>0</v>
      </c>
      <c r="CE78" s="42">
        <f t="shared" si="56"/>
        <v>0.31874855762594895</v>
      </c>
      <c r="CF78" s="21">
        <f>SUM(CG78:DC78)</f>
        <v>46186666</v>
      </c>
      <c r="CG78" s="21">
        <f>+'[1]Acuerdo PLAN INVERSIÓN 2021'!$L$5997</f>
        <v>9630000</v>
      </c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>
        <f>+'[1]Acuerdo PLAN INVERSIÓN 2021'!$AB$5997</f>
        <v>36556666</v>
      </c>
      <c r="DA78" s="21"/>
      <c r="DB78" s="21"/>
      <c r="DC78" s="21"/>
      <c r="DD78" s="23">
        <f t="shared" si="57"/>
        <v>0.681251442374051</v>
      </c>
      <c r="DE78" s="21">
        <f t="shared" si="46"/>
        <v>98713334</v>
      </c>
      <c r="DF78" s="21">
        <f t="shared" ref="DF78:DU93" si="71">+J78-CG78</f>
        <v>270000</v>
      </c>
      <c r="DG78" s="21">
        <f t="shared" si="71"/>
        <v>0</v>
      </c>
      <c r="DH78" s="21">
        <f t="shared" si="71"/>
        <v>0</v>
      </c>
      <c r="DI78" s="21">
        <f t="shared" si="71"/>
        <v>0</v>
      </c>
      <c r="DJ78" s="21">
        <f t="shared" si="71"/>
        <v>0</v>
      </c>
      <c r="DK78" s="21">
        <f t="shared" si="71"/>
        <v>0</v>
      </c>
      <c r="DL78" s="21">
        <f t="shared" si="71"/>
        <v>0</v>
      </c>
      <c r="DM78" s="21">
        <f t="shared" si="71"/>
        <v>0</v>
      </c>
      <c r="DN78" s="21">
        <f t="shared" si="71"/>
        <v>0</v>
      </c>
      <c r="DO78" s="21">
        <f t="shared" si="71"/>
        <v>0</v>
      </c>
      <c r="DP78" s="21">
        <f t="shared" si="71"/>
        <v>0</v>
      </c>
      <c r="DQ78" s="21">
        <f t="shared" si="71"/>
        <v>0</v>
      </c>
      <c r="DR78" s="21">
        <f t="shared" si="71"/>
        <v>0</v>
      </c>
      <c r="DS78" s="21">
        <f t="shared" si="71"/>
        <v>0</v>
      </c>
      <c r="DT78" s="21">
        <f t="shared" si="71"/>
        <v>0</v>
      </c>
      <c r="DU78" s="21">
        <f t="shared" si="71"/>
        <v>0</v>
      </c>
      <c r="DV78" s="21">
        <f t="shared" ref="DV78:EB96" si="72">+Z78-CW78</f>
        <v>0</v>
      </c>
      <c r="DW78" s="21">
        <f t="shared" si="72"/>
        <v>65000000</v>
      </c>
      <c r="DX78" s="21">
        <f t="shared" si="72"/>
        <v>0</v>
      </c>
      <c r="DY78" s="21">
        <f t="shared" si="72"/>
        <v>33443334</v>
      </c>
      <c r="DZ78" s="21">
        <f t="shared" si="72"/>
        <v>0</v>
      </c>
      <c r="EA78" s="21">
        <f t="shared" si="72"/>
        <v>0</v>
      </c>
      <c r="EB78" s="21">
        <f t="shared" si="72"/>
        <v>0</v>
      </c>
      <c r="ED78" s="27">
        <f t="shared" si="58"/>
        <v>144900000</v>
      </c>
      <c r="EE78" s="27">
        <f t="shared" si="60"/>
        <v>144900000</v>
      </c>
      <c r="EF78" s="27">
        <f t="shared" si="61"/>
        <v>144900000</v>
      </c>
    </row>
    <row r="79" spans="1:136" s="38" customFormat="1" ht="21" customHeight="1" x14ac:dyDescent="0.3">
      <c r="A79" s="180"/>
      <c r="B79" s="172"/>
      <c r="C79" s="44" t="s">
        <v>244</v>
      </c>
      <c r="D79" s="29" t="s">
        <v>245</v>
      </c>
      <c r="E79" s="19">
        <v>301</v>
      </c>
      <c r="F79" s="20" t="s">
        <v>243</v>
      </c>
      <c r="G79" s="21">
        <f t="shared" si="67"/>
        <v>70000000</v>
      </c>
      <c r="H79" s="22">
        <v>85000000</v>
      </c>
      <c r="I79" s="22">
        <f t="shared" ref="I79:I96" si="73">H79-G79</f>
        <v>15000000</v>
      </c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>
        <f>20000000</f>
        <v>20000000</v>
      </c>
      <c r="AB79" s="21"/>
      <c r="AC79" s="21">
        <v>50000000</v>
      </c>
      <c r="AD79" s="21"/>
      <c r="AE79" s="21"/>
      <c r="AF79" s="21"/>
      <c r="AG79" s="23">
        <f t="shared" si="55"/>
        <v>5.6888085714285712E-2</v>
      </c>
      <c r="AH79" s="21">
        <f t="shared" si="41"/>
        <v>3982166</v>
      </c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>
        <f>+'[1]Acuerdo PLAN INVERSIÓN 2021'!$AB$6020</f>
        <v>3982166</v>
      </c>
      <c r="BC79" s="21"/>
      <c r="BD79" s="21"/>
      <c r="BE79" s="21"/>
      <c r="BF79" s="23">
        <f t="shared" si="59"/>
        <v>0.94311191428571428</v>
      </c>
      <c r="BG79" s="21">
        <f t="shared" si="68"/>
        <v>66017834</v>
      </c>
      <c r="BH79" s="21">
        <f t="shared" si="69"/>
        <v>0</v>
      </c>
      <c r="BI79" s="21">
        <f t="shared" si="69"/>
        <v>0</v>
      </c>
      <c r="BJ79" s="21">
        <f t="shared" si="69"/>
        <v>0</v>
      </c>
      <c r="BK79" s="21">
        <f t="shared" si="69"/>
        <v>0</v>
      </c>
      <c r="BL79" s="21">
        <f t="shared" si="69"/>
        <v>0</v>
      </c>
      <c r="BM79" s="21">
        <f t="shared" si="69"/>
        <v>0</v>
      </c>
      <c r="BN79" s="21">
        <f t="shared" si="69"/>
        <v>0</v>
      </c>
      <c r="BO79" s="21">
        <f t="shared" si="69"/>
        <v>0</v>
      </c>
      <c r="BP79" s="21">
        <f t="shared" si="69"/>
        <v>0</v>
      </c>
      <c r="BQ79" s="21">
        <f t="shared" si="69"/>
        <v>0</v>
      </c>
      <c r="BR79" s="21">
        <f t="shared" si="69"/>
        <v>0</v>
      </c>
      <c r="BS79" s="21">
        <f t="shared" si="69"/>
        <v>0</v>
      </c>
      <c r="BT79" s="21">
        <f t="shared" si="69"/>
        <v>0</v>
      </c>
      <c r="BU79" s="21">
        <f t="shared" si="69"/>
        <v>0</v>
      </c>
      <c r="BV79" s="21">
        <f t="shared" si="69"/>
        <v>0</v>
      </c>
      <c r="BW79" s="21">
        <f t="shared" si="69"/>
        <v>0</v>
      </c>
      <c r="BX79" s="21">
        <f t="shared" si="70"/>
        <v>0</v>
      </c>
      <c r="BY79" s="21">
        <f t="shared" si="70"/>
        <v>20000000</v>
      </c>
      <c r="BZ79" s="21">
        <f t="shared" si="70"/>
        <v>0</v>
      </c>
      <c r="CA79" s="21">
        <f t="shared" si="70"/>
        <v>46017834</v>
      </c>
      <c r="CB79" s="21">
        <f t="shared" si="70"/>
        <v>0</v>
      </c>
      <c r="CC79" s="21">
        <f t="shared" si="70"/>
        <v>0</v>
      </c>
      <c r="CD79" s="21">
        <f t="shared" si="70"/>
        <v>0</v>
      </c>
      <c r="CE79" s="23">
        <f t="shared" si="56"/>
        <v>5.6888085714285712E-2</v>
      </c>
      <c r="CF79" s="21">
        <f t="shared" ref="CF79:CF96" si="74">SUM(CG79:DC79)</f>
        <v>3982166</v>
      </c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>
        <f>+'[1]Acuerdo PLAN INVERSIÓN 2021'!$AB$6020</f>
        <v>3982166</v>
      </c>
      <c r="DA79" s="21"/>
      <c r="DB79" s="21"/>
      <c r="DC79" s="21"/>
      <c r="DD79" s="23">
        <f t="shared" si="57"/>
        <v>0.94311191428571428</v>
      </c>
      <c r="DE79" s="21">
        <f t="shared" si="46"/>
        <v>66017834</v>
      </c>
      <c r="DF79" s="21">
        <f t="shared" si="71"/>
        <v>0</v>
      </c>
      <c r="DG79" s="21">
        <f t="shared" si="71"/>
        <v>0</v>
      </c>
      <c r="DH79" s="21">
        <f t="shared" si="71"/>
        <v>0</v>
      </c>
      <c r="DI79" s="21">
        <f t="shared" si="71"/>
        <v>0</v>
      </c>
      <c r="DJ79" s="21">
        <f t="shared" si="71"/>
        <v>0</v>
      </c>
      <c r="DK79" s="21">
        <f t="shared" si="71"/>
        <v>0</v>
      </c>
      <c r="DL79" s="21">
        <f t="shared" si="71"/>
        <v>0</v>
      </c>
      <c r="DM79" s="21">
        <f t="shared" si="71"/>
        <v>0</v>
      </c>
      <c r="DN79" s="21">
        <f t="shared" si="71"/>
        <v>0</v>
      </c>
      <c r="DO79" s="21">
        <f t="shared" si="71"/>
        <v>0</v>
      </c>
      <c r="DP79" s="21">
        <f t="shared" si="71"/>
        <v>0</v>
      </c>
      <c r="DQ79" s="21">
        <f t="shared" si="71"/>
        <v>0</v>
      </c>
      <c r="DR79" s="21">
        <f t="shared" si="71"/>
        <v>0</v>
      </c>
      <c r="DS79" s="21">
        <f t="shared" si="71"/>
        <v>0</v>
      </c>
      <c r="DT79" s="21">
        <f t="shared" si="71"/>
        <v>0</v>
      </c>
      <c r="DU79" s="21">
        <f t="shared" si="71"/>
        <v>0</v>
      </c>
      <c r="DV79" s="21">
        <f t="shared" si="72"/>
        <v>0</v>
      </c>
      <c r="DW79" s="21">
        <f t="shared" si="72"/>
        <v>20000000</v>
      </c>
      <c r="DX79" s="21">
        <f t="shared" si="72"/>
        <v>0</v>
      </c>
      <c r="DY79" s="21">
        <f t="shared" si="72"/>
        <v>46017834</v>
      </c>
      <c r="DZ79" s="21">
        <f t="shared" si="72"/>
        <v>0</v>
      </c>
      <c r="EA79" s="21">
        <f t="shared" si="72"/>
        <v>0</v>
      </c>
      <c r="EB79" s="21">
        <f t="shared" si="72"/>
        <v>0</v>
      </c>
      <c r="ED79" s="27">
        <f t="shared" si="58"/>
        <v>70000000</v>
      </c>
      <c r="EE79" s="27">
        <f t="shared" si="60"/>
        <v>70000000</v>
      </c>
      <c r="EF79" s="27">
        <f t="shared" si="61"/>
        <v>70000000</v>
      </c>
    </row>
    <row r="80" spans="1:136" s="38" customFormat="1" ht="21.75" customHeight="1" x14ac:dyDescent="0.3">
      <c r="A80" s="180"/>
      <c r="B80" s="172"/>
      <c r="C80" s="44" t="s">
        <v>246</v>
      </c>
      <c r="D80" s="29" t="s">
        <v>247</v>
      </c>
      <c r="E80" s="19">
        <v>301</v>
      </c>
      <c r="F80" s="20" t="s">
        <v>243</v>
      </c>
      <c r="G80" s="21">
        <f t="shared" si="67"/>
        <v>79666667</v>
      </c>
      <c r="H80" s="22">
        <v>100000000</v>
      </c>
      <c r="I80" s="22">
        <f t="shared" si="73"/>
        <v>20333333</v>
      </c>
      <c r="J80" s="21">
        <v>19666667</v>
      </c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>
        <v>60000000</v>
      </c>
      <c r="AD80" s="21"/>
      <c r="AE80" s="21"/>
      <c r="AF80" s="21"/>
      <c r="AG80" s="23">
        <f t="shared" si="55"/>
        <v>0.62029288861802134</v>
      </c>
      <c r="AH80" s="21">
        <f t="shared" si="41"/>
        <v>49416667</v>
      </c>
      <c r="AI80" s="21">
        <f>+'[1]Acuerdo PLAN INVERSIÓN 2021'!$L$6031</f>
        <v>17833334</v>
      </c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>
        <f>+'[1]Acuerdo PLAN INVERSIÓN 2021'!$AB$6031</f>
        <v>31583333</v>
      </c>
      <c r="BC80" s="21"/>
      <c r="BD80" s="21"/>
      <c r="BE80" s="21"/>
      <c r="BF80" s="23">
        <f t="shared" si="59"/>
        <v>0.37970711138197866</v>
      </c>
      <c r="BG80" s="21">
        <f t="shared" si="68"/>
        <v>30250000</v>
      </c>
      <c r="BH80" s="21">
        <f t="shared" si="69"/>
        <v>1833333</v>
      </c>
      <c r="BI80" s="21">
        <f t="shared" si="69"/>
        <v>0</v>
      </c>
      <c r="BJ80" s="21">
        <f t="shared" si="69"/>
        <v>0</v>
      </c>
      <c r="BK80" s="21">
        <f t="shared" si="69"/>
        <v>0</v>
      </c>
      <c r="BL80" s="21">
        <f t="shared" si="69"/>
        <v>0</v>
      </c>
      <c r="BM80" s="21">
        <f t="shared" si="69"/>
        <v>0</v>
      </c>
      <c r="BN80" s="21">
        <f t="shared" si="69"/>
        <v>0</v>
      </c>
      <c r="BO80" s="21">
        <f t="shared" si="69"/>
        <v>0</v>
      </c>
      <c r="BP80" s="21">
        <f t="shared" si="69"/>
        <v>0</v>
      </c>
      <c r="BQ80" s="21">
        <f t="shared" si="69"/>
        <v>0</v>
      </c>
      <c r="BR80" s="21">
        <f t="shared" si="69"/>
        <v>0</v>
      </c>
      <c r="BS80" s="21">
        <f t="shared" si="69"/>
        <v>0</v>
      </c>
      <c r="BT80" s="21">
        <f t="shared" si="69"/>
        <v>0</v>
      </c>
      <c r="BU80" s="21">
        <f t="shared" si="69"/>
        <v>0</v>
      </c>
      <c r="BV80" s="21">
        <f t="shared" si="69"/>
        <v>0</v>
      </c>
      <c r="BW80" s="21">
        <f t="shared" si="69"/>
        <v>0</v>
      </c>
      <c r="BX80" s="21">
        <f t="shared" si="70"/>
        <v>0</v>
      </c>
      <c r="BY80" s="21">
        <f t="shared" si="70"/>
        <v>0</v>
      </c>
      <c r="BZ80" s="21">
        <f t="shared" si="70"/>
        <v>0</v>
      </c>
      <c r="CA80" s="21">
        <f t="shared" si="70"/>
        <v>28416667</v>
      </c>
      <c r="CB80" s="21">
        <f t="shared" si="70"/>
        <v>0</v>
      </c>
      <c r="CC80" s="21">
        <f t="shared" si="70"/>
        <v>0</v>
      </c>
      <c r="CD80" s="21">
        <f t="shared" si="70"/>
        <v>0</v>
      </c>
      <c r="CE80" s="23">
        <f t="shared" si="56"/>
        <v>0.62029288861802134</v>
      </c>
      <c r="CF80" s="21">
        <f t="shared" si="74"/>
        <v>49416667</v>
      </c>
      <c r="CG80" s="21">
        <f>+'[1]Acuerdo PLAN INVERSIÓN 2021'!$L$6031</f>
        <v>17833334</v>
      </c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>
        <f>+'[1]Acuerdo PLAN INVERSIÓN 2021'!$AB$6031</f>
        <v>31583333</v>
      </c>
      <c r="DA80" s="21"/>
      <c r="DB80" s="21"/>
      <c r="DC80" s="21"/>
      <c r="DD80" s="23">
        <f t="shared" si="57"/>
        <v>0.37970711138197866</v>
      </c>
      <c r="DE80" s="21">
        <f t="shared" si="46"/>
        <v>30250000</v>
      </c>
      <c r="DF80" s="21">
        <f t="shared" si="71"/>
        <v>1833333</v>
      </c>
      <c r="DG80" s="21">
        <f t="shared" si="71"/>
        <v>0</v>
      </c>
      <c r="DH80" s="21">
        <f t="shared" si="71"/>
        <v>0</v>
      </c>
      <c r="DI80" s="21">
        <f t="shared" si="71"/>
        <v>0</v>
      </c>
      <c r="DJ80" s="21">
        <f t="shared" si="71"/>
        <v>0</v>
      </c>
      <c r="DK80" s="21">
        <f t="shared" si="71"/>
        <v>0</v>
      </c>
      <c r="DL80" s="21">
        <f t="shared" si="71"/>
        <v>0</v>
      </c>
      <c r="DM80" s="21">
        <f t="shared" si="71"/>
        <v>0</v>
      </c>
      <c r="DN80" s="21">
        <f t="shared" si="71"/>
        <v>0</v>
      </c>
      <c r="DO80" s="21">
        <f t="shared" si="71"/>
        <v>0</v>
      </c>
      <c r="DP80" s="21">
        <f t="shared" si="71"/>
        <v>0</v>
      </c>
      <c r="DQ80" s="21">
        <f t="shared" si="71"/>
        <v>0</v>
      </c>
      <c r="DR80" s="21">
        <f t="shared" si="71"/>
        <v>0</v>
      </c>
      <c r="DS80" s="21">
        <f t="shared" si="71"/>
        <v>0</v>
      </c>
      <c r="DT80" s="21">
        <f t="shared" si="71"/>
        <v>0</v>
      </c>
      <c r="DU80" s="21">
        <f t="shared" si="71"/>
        <v>0</v>
      </c>
      <c r="DV80" s="21">
        <f t="shared" si="72"/>
        <v>0</v>
      </c>
      <c r="DW80" s="21">
        <f t="shared" si="72"/>
        <v>0</v>
      </c>
      <c r="DX80" s="21">
        <f t="shared" si="72"/>
        <v>0</v>
      </c>
      <c r="DY80" s="21">
        <f t="shared" si="72"/>
        <v>28416667</v>
      </c>
      <c r="DZ80" s="21">
        <f t="shared" si="72"/>
        <v>0</v>
      </c>
      <c r="EA80" s="21">
        <f t="shared" si="72"/>
        <v>0</v>
      </c>
      <c r="EB80" s="21">
        <f t="shared" si="72"/>
        <v>0</v>
      </c>
      <c r="ED80" s="27">
        <f t="shared" si="58"/>
        <v>79666667</v>
      </c>
      <c r="EE80" s="27">
        <f t="shared" si="60"/>
        <v>79666667</v>
      </c>
      <c r="EF80" s="27">
        <f t="shared" si="61"/>
        <v>79666667</v>
      </c>
    </row>
    <row r="81" spans="1:136" s="38" customFormat="1" ht="21" customHeight="1" x14ac:dyDescent="0.3">
      <c r="A81" s="180"/>
      <c r="B81" s="172"/>
      <c r="C81" s="44" t="s">
        <v>248</v>
      </c>
      <c r="D81" s="29" t="s">
        <v>249</v>
      </c>
      <c r="E81" s="19">
        <v>301</v>
      </c>
      <c r="F81" s="20" t="s">
        <v>243</v>
      </c>
      <c r="G81" s="21">
        <f t="shared" si="67"/>
        <v>10000000</v>
      </c>
      <c r="H81" s="22">
        <v>20000000</v>
      </c>
      <c r="I81" s="22">
        <f t="shared" si="73"/>
        <v>10000000</v>
      </c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>
        <v>10000000</v>
      </c>
      <c r="AA81" s="21"/>
      <c r="AB81" s="21"/>
      <c r="AC81" s="21"/>
      <c r="AD81" s="21"/>
      <c r="AE81" s="21"/>
      <c r="AF81" s="21"/>
      <c r="AG81" s="23">
        <f t="shared" si="55"/>
        <v>0</v>
      </c>
      <c r="AH81" s="21">
        <f t="shared" si="41"/>
        <v>0</v>
      </c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3">
        <f t="shared" si="59"/>
        <v>1</v>
      </c>
      <c r="BG81" s="21">
        <f t="shared" si="68"/>
        <v>10000000</v>
      </c>
      <c r="BH81" s="21">
        <f t="shared" si="69"/>
        <v>0</v>
      </c>
      <c r="BI81" s="21">
        <f t="shared" si="69"/>
        <v>0</v>
      </c>
      <c r="BJ81" s="21">
        <f t="shared" si="69"/>
        <v>0</v>
      </c>
      <c r="BK81" s="21">
        <f t="shared" si="69"/>
        <v>0</v>
      </c>
      <c r="BL81" s="21">
        <f t="shared" si="69"/>
        <v>0</v>
      </c>
      <c r="BM81" s="21">
        <f t="shared" si="69"/>
        <v>0</v>
      </c>
      <c r="BN81" s="21">
        <f t="shared" si="69"/>
        <v>0</v>
      </c>
      <c r="BO81" s="21">
        <f t="shared" si="69"/>
        <v>0</v>
      </c>
      <c r="BP81" s="21">
        <f t="shared" si="69"/>
        <v>0</v>
      </c>
      <c r="BQ81" s="21">
        <f t="shared" si="69"/>
        <v>0</v>
      </c>
      <c r="BR81" s="21">
        <f t="shared" si="69"/>
        <v>0</v>
      </c>
      <c r="BS81" s="21">
        <f t="shared" si="69"/>
        <v>0</v>
      </c>
      <c r="BT81" s="21">
        <f t="shared" si="69"/>
        <v>0</v>
      </c>
      <c r="BU81" s="21">
        <f t="shared" si="69"/>
        <v>0</v>
      </c>
      <c r="BV81" s="21">
        <f t="shared" si="69"/>
        <v>0</v>
      </c>
      <c r="BW81" s="21">
        <f t="shared" si="69"/>
        <v>0</v>
      </c>
      <c r="BX81" s="21">
        <f t="shared" si="70"/>
        <v>10000000</v>
      </c>
      <c r="BY81" s="21">
        <f t="shared" si="70"/>
        <v>0</v>
      </c>
      <c r="BZ81" s="21">
        <f t="shared" si="70"/>
        <v>0</v>
      </c>
      <c r="CA81" s="21">
        <f t="shared" si="70"/>
        <v>0</v>
      </c>
      <c r="CB81" s="21">
        <f t="shared" si="70"/>
        <v>0</v>
      </c>
      <c r="CC81" s="21">
        <f t="shared" si="70"/>
        <v>0</v>
      </c>
      <c r="CD81" s="21">
        <f t="shared" si="70"/>
        <v>0</v>
      </c>
      <c r="CE81" s="23">
        <f t="shared" si="56"/>
        <v>0</v>
      </c>
      <c r="CF81" s="21">
        <f t="shared" si="74"/>
        <v>0</v>
      </c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3">
        <f t="shared" si="57"/>
        <v>1</v>
      </c>
      <c r="DE81" s="21">
        <f t="shared" si="46"/>
        <v>10000000</v>
      </c>
      <c r="DF81" s="21">
        <f t="shared" si="71"/>
        <v>0</v>
      </c>
      <c r="DG81" s="21">
        <f t="shared" si="71"/>
        <v>0</v>
      </c>
      <c r="DH81" s="21">
        <f t="shared" si="71"/>
        <v>0</v>
      </c>
      <c r="DI81" s="21">
        <f t="shared" si="71"/>
        <v>0</v>
      </c>
      <c r="DJ81" s="21">
        <f t="shared" si="71"/>
        <v>0</v>
      </c>
      <c r="DK81" s="21">
        <f t="shared" si="71"/>
        <v>0</v>
      </c>
      <c r="DL81" s="21">
        <f t="shared" si="71"/>
        <v>0</v>
      </c>
      <c r="DM81" s="21">
        <f t="shared" si="71"/>
        <v>0</v>
      </c>
      <c r="DN81" s="21">
        <f t="shared" si="71"/>
        <v>0</v>
      </c>
      <c r="DO81" s="21">
        <f t="shared" si="71"/>
        <v>0</v>
      </c>
      <c r="DP81" s="21">
        <f t="shared" si="71"/>
        <v>0</v>
      </c>
      <c r="DQ81" s="21">
        <f t="shared" si="71"/>
        <v>0</v>
      </c>
      <c r="DR81" s="21">
        <f t="shared" si="71"/>
        <v>0</v>
      </c>
      <c r="DS81" s="21">
        <f t="shared" si="71"/>
        <v>0</v>
      </c>
      <c r="DT81" s="21">
        <f t="shared" si="71"/>
        <v>0</v>
      </c>
      <c r="DU81" s="21">
        <f t="shared" si="71"/>
        <v>0</v>
      </c>
      <c r="DV81" s="21">
        <f t="shared" si="72"/>
        <v>10000000</v>
      </c>
      <c r="DW81" s="21">
        <f t="shared" si="72"/>
        <v>0</v>
      </c>
      <c r="DX81" s="21">
        <f t="shared" si="72"/>
        <v>0</v>
      </c>
      <c r="DY81" s="21">
        <f t="shared" si="72"/>
        <v>0</v>
      </c>
      <c r="DZ81" s="21">
        <f t="shared" si="72"/>
        <v>0</v>
      </c>
      <c r="EA81" s="21">
        <f t="shared" si="72"/>
        <v>0</v>
      </c>
      <c r="EB81" s="21">
        <f t="shared" si="72"/>
        <v>0</v>
      </c>
      <c r="ED81" s="27">
        <f t="shared" si="58"/>
        <v>10000000</v>
      </c>
      <c r="EE81" s="27">
        <f t="shared" si="60"/>
        <v>10000000</v>
      </c>
      <c r="EF81" s="27">
        <f t="shared" si="61"/>
        <v>10000000</v>
      </c>
    </row>
    <row r="82" spans="1:136" s="38" customFormat="1" ht="19.95" customHeight="1" x14ac:dyDescent="0.3">
      <c r="A82" s="180"/>
      <c r="B82" s="172"/>
      <c r="C82" s="44" t="s">
        <v>250</v>
      </c>
      <c r="D82" s="29" t="s">
        <v>251</v>
      </c>
      <c r="E82" s="19">
        <v>301</v>
      </c>
      <c r="F82" s="20" t="s">
        <v>243</v>
      </c>
      <c r="G82" s="21">
        <f t="shared" si="67"/>
        <v>10000000</v>
      </c>
      <c r="H82" s="22">
        <v>17000000</v>
      </c>
      <c r="I82" s="22">
        <f t="shared" si="73"/>
        <v>7000000</v>
      </c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>
        <v>10000000</v>
      </c>
      <c r="AA82" s="21"/>
      <c r="AB82" s="21"/>
      <c r="AC82" s="21"/>
      <c r="AD82" s="21"/>
      <c r="AE82" s="21"/>
      <c r="AF82" s="21"/>
      <c r="AG82" s="23">
        <f t="shared" si="55"/>
        <v>0</v>
      </c>
      <c r="AH82" s="21">
        <f t="shared" si="41"/>
        <v>0</v>
      </c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3">
        <f t="shared" si="59"/>
        <v>1</v>
      </c>
      <c r="BG82" s="21">
        <f t="shared" si="68"/>
        <v>10000000</v>
      </c>
      <c r="BH82" s="21">
        <f t="shared" si="69"/>
        <v>0</v>
      </c>
      <c r="BI82" s="21">
        <f t="shared" si="69"/>
        <v>0</v>
      </c>
      <c r="BJ82" s="21">
        <f t="shared" si="69"/>
        <v>0</v>
      </c>
      <c r="BK82" s="21">
        <f t="shared" si="69"/>
        <v>0</v>
      </c>
      <c r="BL82" s="21">
        <f t="shared" si="69"/>
        <v>0</v>
      </c>
      <c r="BM82" s="21">
        <f t="shared" si="69"/>
        <v>0</v>
      </c>
      <c r="BN82" s="21">
        <f t="shared" si="69"/>
        <v>0</v>
      </c>
      <c r="BO82" s="21">
        <f t="shared" si="69"/>
        <v>0</v>
      </c>
      <c r="BP82" s="21">
        <f t="shared" si="69"/>
        <v>0</v>
      </c>
      <c r="BQ82" s="21">
        <f t="shared" si="69"/>
        <v>0</v>
      </c>
      <c r="BR82" s="21">
        <f t="shared" si="69"/>
        <v>0</v>
      </c>
      <c r="BS82" s="21">
        <f t="shared" si="69"/>
        <v>0</v>
      </c>
      <c r="BT82" s="21">
        <f t="shared" si="69"/>
        <v>0</v>
      </c>
      <c r="BU82" s="21">
        <f t="shared" si="69"/>
        <v>0</v>
      </c>
      <c r="BV82" s="21">
        <f t="shared" si="69"/>
        <v>0</v>
      </c>
      <c r="BW82" s="21">
        <f t="shared" si="69"/>
        <v>0</v>
      </c>
      <c r="BX82" s="21">
        <f t="shared" si="70"/>
        <v>10000000</v>
      </c>
      <c r="BY82" s="21">
        <f t="shared" si="70"/>
        <v>0</v>
      </c>
      <c r="BZ82" s="21">
        <f t="shared" si="70"/>
        <v>0</v>
      </c>
      <c r="CA82" s="21">
        <f t="shared" si="70"/>
        <v>0</v>
      </c>
      <c r="CB82" s="21">
        <f t="shared" si="70"/>
        <v>0</v>
      </c>
      <c r="CC82" s="21">
        <f t="shared" si="70"/>
        <v>0</v>
      </c>
      <c r="CD82" s="21">
        <f t="shared" si="70"/>
        <v>0</v>
      </c>
      <c r="CE82" s="23">
        <f t="shared" si="56"/>
        <v>0</v>
      </c>
      <c r="CF82" s="21">
        <f t="shared" si="74"/>
        <v>0</v>
      </c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3">
        <f t="shared" si="57"/>
        <v>1</v>
      </c>
      <c r="DE82" s="21">
        <f t="shared" si="46"/>
        <v>10000000</v>
      </c>
      <c r="DF82" s="21">
        <f t="shared" si="71"/>
        <v>0</v>
      </c>
      <c r="DG82" s="21">
        <f t="shared" si="71"/>
        <v>0</v>
      </c>
      <c r="DH82" s="21">
        <f t="shared" si="71"/>
        <v>0</v>
      </c>
      <c r="DI82" s="21">
        <f t="shared" si="71"/>
        <v>0</v>
      </c>
      <c r="DJ82" s="21">
        <f t="shared" si="71"/>
        <v>0</v>
      </c>
      <c r="DK82" s="21">
        <f t="shared" si="71"/>
        <v>0</v>
      </c>
      <c r="DL82" s="21">
        <f t="shared" si="71"/>
        <v>0</v>
      </c>
      <c r="DM82" s="21">
        <f t="shared" si="71"/>
        <v>0</v>
      </c>
      <c r="DN82" s="21">
        <f t="shared" si="71"/>
        <v>0</v>
      </c>
      <c r="DO82" s="21">
        <f t="shared" si="71"/>
        <v>0</v>
      </c>
      <c r="DP82" s="21">
        <f t="shared" si="71"/>
        <v>0</v>
      </c>
      <c r="DQ82" s="21">
        <f t="shared" si="71"/>
        <v>0</v>
      </c>
      <c r="DR82" s="21">
        <f t="shared" si="71"/>
        <v>0</v>
      </c>
      <c r="DS82" s="21">
        <f t="shared" si="71"/>
        <v>0</v>
      </c>
      <c r="DT82" s="21">
        <f t="shared" si="71"/>
        <v>0</v>
      </c>
      <c r="DU82" s="21">
        <f t="shared" si="71"/>
        <v>0</v>
      </c>
      <c r="DV82" s="21">
        <f t="shared" si="72"/>
        <v>10000000</v>
      </c>
      <c r="DW82" s="21">
        <f t="shared" si="72"/>
        <v>0</v>
      </c>
      <c r="DX82" s="21">
        <f t="shared" si="72"/>
        <v>0</v>
      </c>
      <c r="DY82" s="21">
        <f t="shared" si="72"/>
        <v>0</v>
      </c>
      <c r="DZ82" s="21">
        <f t="shared" si="72"/>
        <v>0</v>
      </c>
      <c r="EA82" s="21">
        <f t="shared" si="72"/>
        <v>0</v>
      </c>
      <c r="EB82" s="21">
        <f t="shared" si="72"/>
        <v>0</v>
      </c>
      <c r="ED82" s="27">
        <f t="shared" si="58"/>
        <v>10000000</v>
      </c>
      <c r="EE82" s="27">
        <f t="shared" si="60"/>
        <v>10000000</v>
      </c>
      <c r="EF82" s="27">
        <f t="shared" si="61"/>
        <v>10000000</v>
      </c>
    </row>
    <row r="83" spans="1:136" s="38" customFormat="1" ht="33.6" customHeight="1" x14ac:dyDescent="0.3">
      <c r="A83" s="180"/>
      <c r="B83" s="172"/>
      <c r="C83" s="44" t="s">
        <v>252</v>
      </c>
      <c r="D83" s="29" t="s">
        <v>253</v>
      </c>
      <c r="E83" s="19">
        <v>301</v>
      </c>
      <c r="F83" s="20" t="s">
        <v>243</v>
      </c>
      <c r="G83" s="21">
        <f t="shared" si="67"/>
        <v>34800000</v>
      </c>
      <c r="H83" s="22">
        <v>41000000</v>
      </c>
      <c r="I83" s="22">
        <f t="shared" si="73"/>
        <v>6200000</v>
      </c>
      <c r="J83" s="21">
        <f>8800000</f>
        <v>8800000</v>
      </c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>
        <v>15000000</v>
      </c>
      <c r="AA83" s="21">
        <f>11000000</f>
        <v>11000000</v>
      </c>
      <c r="AB83" s="21"/>
      <c r="AC83" s="21"/>
      <c r="AD83" s="21"/>
      <c r="AE83" s="21"/>
      <c r="AF83" s="21"/>
      <c r="AG83" s="23">
        <f t="shared" si="55"/>
        <v>0.34482758620689657</v>
      </c>
      <c r="AH83" s="21">
        <f t="shared" si="41"/>
        <v>12000000</v>
      </c>
      <c r="AI83" s="21">
        <f>+'[1]Acuerdo PLAN INVERSIÓN 2021'!$L$6056</f>
        <v>3920000</v>
      </c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>
        <f>+'[1]Acuerdo PLAN INVERSIÓN 2021'!$AA$6056</f>
        <v>6120000</v>
      </c>
      <c r="AZ83" s="21">
        <f>+'[1]Acuerdo PLAN INVERSIÓN 2021'!$X$6056</f>
        <v>1960000</v>
      </c>
      <c r="BA83" s="21"/>
      <c r="BB83" s="21"/>
      <c r="BC83" s="21"/>
      <c r="BD83" s="21"/>
      <c r="BE83" s="21"/>
      <c r="BF83" s="23">
        <f t="shared" si="59"/>
        <v>0.65517241379310343</v>
      </c>
      <c r="BG83" s="21">
        <f t="shared" si="68"/>
        <v>22800000</v>
      </c>
      <c r="BH83" s="21">
        <f t="shared" si="69"/>
        <v>4880000</v>
      </c>
      <c r="BI83" s="21">
        <f t="shared" si="69"/>
        <v>0</v>
      </c>
      <c r="BJ83" s="21">
        <f t="shared" si="69"/>
        <v>0</v>
      </c>
      <c r="BK83" s="21">
        <f t="shared" si="69"/>
        <v>0</v>
      </c>
      <c r="BL83" s="21">
        <f t="shared" si="69"/>
        <v>0</v>
      </c>
      <c r="BM83" s="21">
        <f t="shared" si="69"/>
        <v>0</v>
      </c>
      <c r="BN83" s="21">
        <f t="shared" si="69"/>
        <v>0</v>
      </c>
      <c r="BO83" s="21">
        <f t="shared" si="69"/>
        <v>0</v>
      </c>
      <c r="BP83" s="21">
        <f t="shared" si="69"/>
        <v>0</v>
      </c>
      <c r="BQ83" s="21">
        <f t="shared" si="69"/>
        <v>0</v>
      </c>
      <c r="BR83" s="21">
        <f t="shared" si="69"/>
        <v>0</v>
      </c>
      <c r="BS83" s="21">
        <f t="shared" si="69"/>
        <v>0</v>
      </c>
      <c r="BT83" s="21">
        <f t="shared" si="69"/>
        <v>0</v>
      </c>
      <c r="BU83" s="21">
        <f t="shared" si="69"/>
        <v>0</v>
      </c>
      <c r="BV83" s="21">
        <f t="shared" si="69"/>
        <v>0</v>
      </c>
      <c r="BW83" s="21">
        <f t="shared" si="69"/>
        <v>0</v>
      </c>
      <c r="BX83" s="21">
        <f t="shared" si="70"/>
        <v>8880000</v>
      </c>
      <c r="BY83" s="21">
        <f t="shared" si="70"/>
        <v>9040000</v>
      </c>
      <c r="BZ83" s="21">
        <f t="shared" si="70"/>
        <v>0</v>
      </c>
      <c r="CA83" s="21">
        <f t="shared" si="70"/>
        <v>0</v>
      </c>
      <c r="CB83" s="21">
        <f t="shared" si="70"/>
        <v>0</v>
      </c>
      <c r="CC83" s="21">
        <f t="shared" si="70"/>
        <v>0</v>
      </c>
      <c r="CD83" s="21">
        <f t="shared" si="70"/>
        <v>0</v>
      </c>
      <c r="CE83" s="23">
        <f t="shared" si="56"/>
        <v>0.34482758620689657</v>
      </c>
      <c r="CF83" s="21">
        <f t="shared" si="74"/>
        <v>12000000</v>
      </c>
      <c r="CG83" s="21">
        <f>+'[1]Acuerdo PLAN INVERSIÓN 2021'!$L$6056</f>
        <v>3920000</v>
      </c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>
        <f>+'[1]Acuerdo PLAN INVERSIÓN 2021'!$AA$6056</f>
        <v>6120000</v>
      </c>
      <c r="CX83" s="21">
        <f>+'[1]Acuerdo PLAN INVERSIÓN 2021'!$X$6056</f>
        <v>1960000</v>
      </c>
      <c r="CY83" s="21"/>
      <c r="CZ83" s="21"/>
      <c r="DA83" s="21"/>
      <c r="DB83" s="21"/>
      <c r="DC83" s="21"/>
      <c r="DD83" s="23">
        <f t="shared" si="57"/>
        <v>0.65517241379310343</v>
      </c>
      <c r="DE83" s="21">
        <f t="shared" si="46"/>
        <v>22800000</v>
      </c>
      <c r="DF83" s="21">
        <f t="shared" si="71"/>
        <v>4880000</v>
      </c>
      <c r="DG83" s="21">
        <f t="shared" si="71"/>
        <v>0</v>
      </c>
      <c r="DH83" s="21">
        <f t="shared" si="71"/>
        <v>0</v>
      </c>
      <c r="DI83" s="21">
        <f t="shared" si="71"/>
        <v>0</v>
      </c>
      <c r="DJ83" s="21">
        <f t="shared" si="71"/>
        <v>0</v>
      </c>
      <c r="DK83" s="21">
        <f t="shared" si="71"/>
        <v>0</v>
      </c>
      <c r="DL83" s="21">
        <f t="shared" si="71"/>
        <v>0</v>
      </c>
      <c r="DM83" s="21">
        <f t="shared" si="71"/>
        <v>0</v>
      </c>
      <c r="DN83" s="21">
        <f t="shared" si="71"/>
        <v>0</v>
      </c>
      <c r="DO83" s="21">
        <f t="shared" si="71"/>
        <v>0</v>
      </c>
      <c r="DP83" s="21">
        <f t="shared" si="71"/>
        <v>0</v>
      </c>
      <c r="DQ83" s="21">
        <f t="shared" si="71"/>
        <v>0</v>
      </c>
      <c r="DR83" s="21">
        <f t="shared" si="71"/>
        <v>0</v>
      </c>
      <c r="DS83" s="21">
        <f t="shared" si="71"/>
        <v>0</v>
      </c>
      <c r="DT83" s="21">
        <f t="shared" si="71"/>
        <v>0</v>
      </c>
      <c r="DU83" s="21">
        <f t="shared" si="71"/>
        <v>0</v>
      </c>
      <c r="DV83" s="21">
        <f t="shared" si="72"/>
        <v>8880000</v>
      </c>
      <c r="DW83" s="21">
        <f t="shared" si="72"/>
        <v>9040000</v>
      </c>
      <c r="DX83" s="21">
        <f t="shared" si="72"/>
        <v>0</v>
      </c>
      <c r="DY83" s="21">
        <f t="shared" si="72"/>
        <v>0</v>
      </c>
      <c r="DZ83" s="21">
        <f t="shared" si="72"/>
        <v>0</v>
      </c>
      <c r="EA83" s="21">
        <f t="shared" si="72"/>
        <v>0</v>
      </c>
      <c r="EB83" s="21">
        <f t="shared" si="72"/>
        <v>0</v>
      </c>
      <c r="ED83" s="27">
        <f t="shared" si="58"/>
        <v>34800000</v>
      </c>
      <c r="EE83" s="27">
        <f t="shared" si="60"/>
        <v>34800000</v>
      </c>
      <c r="EF83" s="27">
        <f t="shared" si="61"/>
        <v>34800000</v>
      </c>
    </row>
    <row r="84" spans="1:136" s="38" customFormat="1" ht="33" customHeight="1" x14ac:dyDescent="0.3">
      <c r="A84" s="180"/>
      <c r="B84" s="173"/>
      <c r="C84" s="44" t="s">
        <v>254</v>
      </c>
      <c r="D84" s="29" t="s">
        <v>255</v>
      </c>
      <c r="E84" s="30">
        <v>301</v>
      </c>
      <c r="F84" s="31" t="s">
        <v>243</v>
      </c>
      <c r="G84" s="21">
        <f t="shared" si="67"/>
        <v>85000000</v>
      </c>
      <c r="H84" s="22">
        <v>141000000</v>
      </c>
      <c r="I84" s="22">
        <f t="shared" si="73"/>
        <v>56000000</v>
      </c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>
        <f>15000000</f>
        <v>15000000</v>
      </c>
      <c r="AB84" s="21"/>
      <c r="AC84" s="21">
        <v>70000000</v>
      </c>
      <c r="AD84" s="21"/>
      <c r="AE84" s="21"/>
      <c r="AF84" s="21"/>
      <c r="AG84" s="23">
        <f t="shared" si="55"/>
        <v>0.7803764352941176</v>
      </c>
      <c r="AH84" s="21">
        <f t="shared" si="41"/>
        <v>66331997</v>
      </c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>
        <f>+'[1]Acuerdo PLAN INVERSIÓN 2021'!$AB$6068</f>
        <v>66331997</v>
      </c>
      <c r="BC84" s="21"/>
      <c r="BD84" s="21"/>
      <c r="BE84" s="21"/>
      <c r="BF84" s="57">
        <f t="shared" si="59"/>
        <v>0.2196235647058824</v>
      </c>
      <c r="BG84" s="21">
        <f t="shared" si="68"/>
        <v>18668003</v>
      </c>
      <c r="BH84" s="21">
        <f t="shared" si="69"/>
        <v>0</v>
      </c>
      <c r="BI84" s="21">
        <f t="shared" si="69"/>
        <v>0</v>
      </c>
      <c r="BJ84" s="21">
        <f t="shared" si="69"/>
        <v>0</v>
      </c>
      <c r="BK84" s="21">
        <f t="shared" si="69"/>
        <v>0</v>
      </c>
      <c r="BL84" s="21">
        <f t="shared" si="69"/>
        <v>0</v>
      </c>
      <c r="BM84" s="21">
        <f t="shared" si="69"/>
        <v>0</v>
      </c>
      <c r="BN84" s="21">
        <f t="shared" si="69"/>
        <v>0</v>
      </c>
      <c r="BO84" s="21">
        <f t="shared" si="69"/>
        <v>0</v>
      </c>
      <c r="BP84" s="21">
        <f t="shared" si="69"/>
        <v>0</v>
      </c>
      <c r="BQ84" s="21">
        <f t="shared" si="69"/>
        <v>0</v>
      </c>
      <c r="BR84" s="21">
        <f t="shared" si="69"/>
        <v>0</v>
      </c>
      <c r="BS84" s="21">
        <f t="shared" si="69"/>
        <v>0</v>
      </c>
      <c r="BT84" s="21">
        <f t="shared" si="69"/>
        <v>0</v>
      </c>
      <c r="BU84" s="21">
        <f t="shared" si="69"/>
        <v>0</v>
      </c>
      <c r="BV84" s="21">
        <f t="shared" si="69"/>
        <v>0</v>
      </c>
      <c r="BW84" s="21">
        <f t="shared" si="69"/>
        <v>0</v>
      </c>
      <c r="BX84" s="21">
        <f t="shared" si="70"/>
        <v>0</v>
      </c>
      <c r="BY84" s="21">
        <f t="shared" si="70"/>
        <v>15000000</v>
      </c>
      <c r="BZ84" s="21">
        <f t="shared" si="70"/>
        <v>0</v>
      </c>
      <c r="CA84" s="21">
        <f t="shared" si="70"/>
        <v>3668003</v>
      </c>
      <c r="CB84" s="21">
        <f t="shared" si="70"/>
        <v>0</v>
      </c>
      <c r="CC84" s="21">
        <f t="shared" si="70"/>
        <v>0</v>
      </c>
      <c r="CD84" s="21">
        <f t="shared" si="70"/>
        <v>0</v>
      </c>
      <c r="CE84" s="23">
        <f t="shared" si="56"/>
        <v>0.7803764352941176</v>
      </c>
      <c r="CF84" s="21">
        <f t="shared" si="74"/>
        <v>66331997</v>
      </c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>
        <f>+'[1]Acuerdo PLAN INVERSIÓN 2021'!$AB$6068</f>
        <v>66331997</v>
      </c>
      <c r="DA84" s="21"/>
      <c r="DB84" s="21"/>
      <c r="DC84" s="21"/>
      <c r="DD84" s="57">
        <f t="shared" si="57"/>
        <v>0.2196235647058824</v>
      </c>
      <c r="DE84" s="21">
        <f t="shared" si="46"/>
        <v>18668003</v>
      </c>
      <c r="DF84" s="21">
        <f t="shared" si="71"/>
        <v>0</v>
      </c>
      <c r="DG84" s="21">
        <f t="shared" si="71"/>
        <v>0</v>
      </c>
      <c r="DH84" s="21">
        <f t="shared" si="71"/>
        <v>0</v>
      </c>
      <c r="DI84" s="21">
        <f t="shared" si="71"/>
        <v>0</v>
      </c>
      <c r="DJ84" s="21">
        <f t="shared" si="71"/>
        <v>0</v>
      </c>
      <c r="DK84" s="21">
        <f t="shared" si="71"/>
        <v>0</v>
      </c>
      <c r="DL84" s="21">
        <f t="shared" si="71"/>
        <v>0</v>
      </c>
      <c r="DM84" s="21">
        <f t="shared" si="71"/>
        <v>0</v>
      </c>
      <c r="DN84" s="21">
        <f t="shared" si="71"/>
        <v>0</v>
      </c>
      <c r="DO84" s="21">
        <f t="shared" si="71"/>
        <v>0</v>
      </c>
      <c r="DP84" s="21">
        <f t="shared" si="71"/>
        <v>0</v>
      </c>
      <c r="DQ84" s="21">
        <f t="shared" si="71"/>
        <v>0</v>
      </c>
      <c r="DR84" s="21">
        <f t="shared" si="71"/>
        <v>0</v>
      </c>
      <c r="DS84" s="21">
        <f t="shared" si="71"/>
        <v>0</v>
      </c>
      <c r="DT84" s="21">
        <f t="shared" si="71"/>
        <v>0</v>
      </c>
      <c r="DU84" s="21">
        <f t="shared" si="71"/>
        <v>0</v>
      </c>
      <c r="DV84" s="21">
        <f t="shared" si="72"/>
        <v>0</v>
      </c>
      <c r="DW84" s="21">
        <f t="shared" si="72"/>
        <v>15000000</v>
      </c>
      <c r="DX84" s="21">
        <f t="shared" si="72"/>
        <v>0</v>
      </c>
      <c r="DY84" s="21">
        <f t="shared" si="72"/>
        <v>3668003</v>
      </c>
      <c r="DZ84" s="21">
        <f t="shared" si="72"/>
        <v>0</v>
      </c>
      <c r="EA84" s="21">
        <f t="shared" si="72"/>
        <v>0</v>
      </c>
      <c r="EB84" s="21">
        <f t="shared" si="72"/>
        <v>0</v>
      </c>
      <c r="ED84" s="27">
        <f t="shared" si="58"/>
        <v>85000000</v>
      </c>
      <c r="EE84" s="27">
        <f t="shared" si="60"/>
        <v>85000000</v>
      </c>
      <c r="EF84" s="27">
        <f t="shared" si="61"/>
        <v>85000000</v>
      </c>
    </row>
    <row r="85" spans="1:136" ht="27.75" customHeight="1" x14ac:dyDescent="0.3">
      <c r="A85" s="180"/>
      <c r="B85" s="171" t="s">
        <v>256</v>
      </c>
      <c r="C85" s="58" t="s">
        <v>257</v>
      </c>
      <c r="D85" s="29" t="s">
        <v>258</v>
      </c>
      <c r="E85" s="19">
        <v>301</v>
      </c>
      <c r="F85" s="20" t="s">
        <v>259</v>
      </c>
      <c r="G85" s="21">
        <f t="shared" si="67"/>
        <v>68000000</v>
      </c>
      <c r="H85" s="22">
        <v>97200000</v>
      </c>
      <c r="I85" s="22">
        <f t="shared" si="73"/>
        <v>29200000</v>
      </c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>
        <v>60000000</v>
      </c>
      <c r="AD85" s="21"/>
      <c r="AE85" s="21"/>
      <c r="AF85" s="21">
        <f>3000000+5000000</f>
        <v>8000000</v>
      </c>
      <c r="AG85" s="23">
        <f t="shared" si="55"/>
        <v>0.11739708823529411</v>
      </c>
      <c r="AH85" s="21">
        <f t="shared" si="41"/>
        <v>7983002</v>
      </c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>
        <f>+'[1]Acuerdo PLAN INVERSIÓN 2021'!$AF$6090</f>
        <v>7983002</v>
      </c>
      <c r="BF85" s="23">
        <f t="shared" si="59"/>
        <v>0.88260291176470584</v>
      </c>
      <c r="BG85" s="21">
        <f t="shared" si="68"/>
        <v>60016998</v>
      </c>
      <c r="BH85" s="21">
        <f t="shared" si="69"/>
        <v>0</v>
      </c>
      <c r="BI85" s="21">
        <f t="shared" si="69"/>
        <v>0</v>
      </c>
      <c r="BJ85" s="21">
        <f t="shared" si="69"/>
        <v>0</v>
      </c>
      <c r="BK85" s="21">
        <f t="shared" si="69"/>
        <v>0</v>
      </c>
      <c r="BL85" s="21">
        <f t="shared" si="69"/>
        <v>0</v>
      </c>
      <c r="BM85" s="21">
        <f t="shared" si="69"/>
        <v>0</v>
      </c>
      <c r="BN85" s="21">
        <f t="shared" si="69"/>
        <v>0</v>
      </c>
      <c r="BO85" s="21">
        <f t="shared" si="69"/>
        <v>0</v>
      </c>
      <c r="BP85" s="21">
        <f t="shared" si="69"/>
        <v>0</v>
      </c>
      <c r="BQ85" s="21">
        <f t="shared" si="69"/>
        <v>0</v>
      </c>
      <c r="BR85" s="21">
        <f t="shared" si="69"/>
        <v>0</v>
      </c>
      <c r="BS85" s="21">
        <f t="shared" si="69"/>
        <v>0</v>
      </c>
      <c r="BT85" s="21">
        <f t="shared" si="69"/>
        <v>0</v>
      </c>
      <c r="BU85" s="21">
        <f t="shared" si="69"/>
        <v>0</v>
      </c>
      <c r="BV85" s="21">
        <f t="shared" si="69"/>
        <v>0</v>
      </c>
      <c r="BW85" s="21">
        <f t="shared" si="69"/>
        <v>0</v>
      </c>
      <c r="BX85" s="21">
        <f t="shared" si="70"/>
        <v>0</v>
      </c>
      <c r="BY85" s="21">
        <f t="shared" si="70"/>
        <v>0</v>
      </c>
      <c r="BZ85" s="21">
        <f t="shared" si="70"/>
        <v>0</v>
      </c>
      <c r="CA85" s="21">
        <f t="shared" si="70"/>
        <v>60000000</v>
      </c>
      <c r="CB85" s="21">
        <f t="shared" si="70"/>
        <v>0</v>
      </c>
      <c r="CC85" s="21">
        <f t="shared" si="70"/>
        <v>0</v>
      </c>
      <c r="CD85" s="21">
        <f t="shared" si="70"/>
        <v>16998</v>
      </c>
      <c r="CE85" s="23">
        <f t="shared" si="56"/>
        <v>0.11739708823529411</v>
      </c>
      <c r="CF85" s="21">
        <f t="shared" si="74"/>
        <v>7983002</v>
      </c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>
        <f>+'[4]Acuerdo PLAN INVERSIÓN 2021'!$H$2463+'[5]Acuerdo PLAN INVERSIÓN 2021'!$H$5801</f>
        <v>7983002</v>
      </c>
      <c r="DD85" s="23">
        <f t="shared" si="57"/>
        <v>0.88260291176470584</v>
      </c>
      <c r="DE85" s="21">
        <f t="shared" si="46"/>
        <v>60016998</v>
      </c>
      <c r="DF85" s="21">
        <f t="shared" si="71"/>
        <v>0</v>
      </c>
      <c r="DG85" s="21">
        <f t="shared" si="71"/>
        <v>0</v>
      </c>
      <c r="DH85" s="21">
        <f t="shared" si="71"/>
        <v>0</v>
      </c>
      <c r="DI85" s="21">
        <f t="shared" si="71"/>
        <v>0</v>
      </c>
      <c r="DJ85" s="21">
        <f t="shared" si="71"/>
        <v>0</v>
      </c>
      <c r="DK85" s="21">
        <f t="shared" si="71"/>
        <v>0</v>
      </c>
      <c r="DL85" s="21">
        <f t="shared" si="71"/>
        <v>0</v>
      </c>
      <c r="DM85" s="21">
        <f t="shared" si="71"/>
        <v>0</v>
      </c>
      <c r="DN85" s="21">
        <f t="shared" si="71"/>
        <v>0</v>
      </c>
      <c r="DO85" s="21">
        <f t="shared" si="71"/>
        <v>0</v>
      </c>
      <c r="DP85" s="21">
        <f t="shared" si="71"/>
        <v>0</v>
      </c>
      <c r="DQ85" s="21">
        <f t="shared" si="71"/>
        <v>0</v>
      </c>
      <c r="DR85" s="21">
        <f t="shared" si="71"/>
        <v>0</v>
      </c>
      <c r="DS85" s="21">
        <f t="shared" si="71"/>
        <v>0</v>
      </c>
      <c r="DT85" s="21">
        <f t="shared" si="71"/>
        <v>0</v>
      </c>
      <c r="DU85" s="21">
        <f t="shared" si="71"/>
        <v>0</v>
      </c>
      <c r="DV85" s="21">
        <f t="shared" si="72"/>
        <v>0</v>
      </c>
      <c r="DW85" s="21">
        <f t="shared" si="72"/>
        <v>0</v>
      </c>
      <c r="DX85" s="21">
        <f t="shared" si="72"/>
        <v>0</v>
      </c>
      <c r="DY85" s="21">
        <f t="shared" si="72"/>
        <v>60000000</v>
      </c>
      <c r="DZ85" s="21">
        <f t="shared" si="72"/>
        <v>0</v>
      </c>
      <c r="EA85" s="21">
        <f t="shared" si="72"/>
        <v>0</v>
      </c>
      <c r="EB85" s="21">
        <f t="shared" si="72"/>
        <v>16998</v>
      </c>
      <c r="ED85" s="27">
        <f t="shared" si="58"/>
        <v>68000000</v>
      </c>
      <c r="EE85" s="27">
        <f t="shared" si="60"/>
        <v>68000000</v>
      </c>
      <c r="EF85" s="27">
        <f t="shared" si="61"/>
        <v>68000000</v>
      </c>
    </row>
    <row r="86" spans="1:136" ht="20.25" customHeight="1" x14ac:dyDescent="0.3">
      <c r="A86" s="180"/>
      <c r="B86" s="172"/>
      <c r="C86" s="58" t="s">
        <v>260</v>
      </c>
      <c r="D86" s="29" t="s">
        <v>261</v>
      </c>
      <c r="E86" s="19">
        <v>301</v>
      </c>
      <c r="F86" s="20" t="s">
        <v>243</v>
      </c>
      <c r="G86" s="21">
        <f t="shared" si="67"/>
        <v>300000000</v>
      </c>
      <c r="H86" s="22">
        <v>421000000</v>
      </c>
      <c r="I86" s="22">
        <f t="shared" si="73"/>
        <v>121000000</v>
      </c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>
        <v>300000000</v>
      </c>
      <c r="AD86" s="21"/>
      <c r="AE86" s="21"/>
      <c r="AF86" s="21"/>
      <c r="AG86" s="23">
        <f t="shared" si="55"/>
        <v>0.93503333333333338</v>
      </c>
      <c r="AH86" s="21">
        <f t="shared" si="41"/>
        <v>280510000</v>
      </c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>
        <f>+'[1]Acuerdo PLAN INVERSIÓN 2021'!$AB$6106</f>
        <v>280510000</v>
      </c>
      <c r="BC86" s="21"/>
      <c r="BD86" s="21"/>
      <c r="BE86" s="21"/>
      <c r="BF86" s="23">
        <f t="shared" si="59"/>
        <v>6.4966666666666617E-2</v>
      </c>
      <c r="BG86" s="21">
        <f t="shared" si="68"/>
        <v>19490000</v>
      </c>
      <c r="BH86" s="21">
        <f t="shared" si="69"/>
        <v>0</v>
      </c>
      <c r="BI86" s="21">
        <f t="shared" si="69"/>
        <v>0</v>
      </c>
      <c r="BJ86" s="21">
        <f t="shared" si="69"/>
        <v>0</v>
      </c>
      <c r="BK86" s="21">
        <f t="shared" si="69"/>
        <v>0</v>
      </c>
      <c r="BL86" s="21">
        <f t="shared" si="69"/>
        <v>0</v>
      </c>
      <c r="BM86" s="21">
        <f t="shared" si="69"/>
        <v>0</v>
      </c>
      <c r="BN86" s="21">
        <f t="shared" si="69"/>
        <v>0</v>
      </c>
      <c r="BO86" s="21">
        <f t="shared" si="69"/>
        <v>0</v>
      </c>
      <c r="BP86" s="21">
        <f t="shared" si="69"/>
        <v>0</v>
      </c>
      <c r="BQ86" s="21">
        <f t="shared" si="69"/>
        <v>0</v>
      </c>
      <c r="BR86" s="21">
        <f t="shared" si="69"/>
        <v>0</v>
      </c>
      <c r="BS86" s="21">
        <f t="shared" si="69"/>
        <v>0</v>
      </c>
      <c r="BT86" s="21">
        <f t="shared" si="69"/>
        <v>0</v>
      </c>
      <c r="BU86" s="21">
        <f t="shared" si="69"/>
        <v>0</v>
      </c>
      <c r="BV86" s="21">
        <f t="shared" si="69"/>
        <v>0</v>
      </c>
      <c r="BW86" s="21">
        <f t="shared" si="69"/>
        <v>0</v>
      </c>
      <c r="BX86" s="21">
        <f t="shared" si="70"/>
        <v>0</v>
      </c>
      <c r="BY86" s="21">
        <f t="shared" si="70"/>
        <v>0</v>
      </c>
      <c r="BZ86" s="21">
        <f t="shared" si="70"/>
        <v>0</v>
      </c>
      <c r="CA86" s="21">
        <f t="shared" si="70"/>
        <v>19490000</v>
      </c>
      <c r="CB86" s="21">
        <f t="shared" si="70"/>
        <v>0</v>
      </c>
      <c r="CC86" s="21">
        <f t="shared" si="70"/>
        <v>0</v>
      </c>
      <c r="CD86" s="21">
        <f t="shared" si="70"/>
        <v>0</v>
      </c>
      <c r="CE86" s="23">
        <f t="shared" si="56"/>
        <v>0.93503333333333338</v>
      </c>
      <c r="CF86" s="21">
        <f t="shared" si="74"/>
        <v>280510000</v>
      </c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>
        <f>+'[1]Acuerdo PLAN INVERSIÓN 2021'!$AB$6106</f>
        <v>280510000</v>
      </c>
      <c r="DA86" s="21"/>
      <c r="DB86" s="21"/>
      <c r="DC86" s="21"/>
      <c r="DD86" s="23">
        <f t="shared" si="57"/>
        <v>6.4966666666666617E-2</v>
      </c>
      <c r="DE86" s="21">
        <f t="shared" si="46"/>
        <v>19490000</v>
      </c>
      <c r="DF86" s="21">
        <f t="shared" si="71"/>
        <v>0</v>
      </c>
      <c r="DG86" s="21">
        <f t="shared" si="71"/>
        <v>0</v>
      </c>
      <c r="DH86" s="21">
        <f t="shared" si="71"/>
        <v>0</v>
      </c>
      <c r="DI86" s="21">
        <f t="shared" si="71"/>
        <v>0</v>
      </c>
      <c r="DJ86" s="21">
        <f t="shared" si="71"/>
        <v>0</v>
      </c>
      <c r="DK86" s="21">
        <f t="shared" si="71"/>
        <v>0</v>
      </c>
      <c r="DL86" s="21">
        <f t="shared" si="71"/>
        <v>0</v>
      </c>
      <c r="DM86" s="21">
        <f t="shared" si="71"/>
        <v>0</v>
      </c>
      <c r="DN86" s="21">
        <f t="shared" si="71"/>
        <v>0</v>
      </c>
      <c r="DO86" s="21">
        <f t="shared" si="71"/>
        <v>0</v>
      </c>
      <c r="DP86" s="21">
        <f t="shared" si="71"/>
        <v>0</v>
      </c>
      <c r="DQ86" s="21">
        <f t="shared" si="71"/>
        <v>0</v>
      </c>
      <c r="DR86" s="21">
        <f t="shared" si="71"/>
        <v>0</v>
      </c>
      <c r="DS86" s="21">
        <f t="shared" si="71"/>
        <v>0</v>
      </c>
      <c r="DT86" s="21">
        <f t="shared" si="71"/>
        <v>0</v>
      </c>
      <c r="DU86" s="21">
        <f t="shared" si="71"/>
        <v>0</v>
      </c>
      <c r="DV86" s="21">
        <f t="shared" si="72"/>
        <v>0</v>
      </c>
      <c r="DW86" s="21">
        <f t="shared" si="72"/>
        <v>0</v>
      </c>
      <c r="DX86" s="21">
        <f t="shared" si="72"/>
        <v>0</v>
      </c>
      <c r="DY86" s="21">
        <f t="shared" si="72"/>
        <v>19490000</v>
      </c>
      <c r="DZ86" s="21">
        <f t="shared" si="72"/>
        <v>0</v>
      </c>
      <c r="EA86" s="21">
        <f t="shared" si="72"/>
        <v>0</v>
      </c>
      <c r="EB86" s="21">
        <f t="shared" si="72"/>
        <v>0</v>
      </c>
      <c r="ED86" s="27">
        <f t="shared" si="58"/>
        <v>300000000</v>
      </c>
      <c r="EE86" s="27">
        <f t="shared" si="60"/>
        <v>300000000</v>
      </c>
      <c r="EF86" s="27">
        <f t="shared" si="61"/>
        <v>300000000</v>
      </c>
    </row>
    <row r="87" spans="1:136" ht="31.5" customHeight="1" x14ac:dyDescent="0.3">
      <c r="A87" s="180"/>
      <c r="B87" s="173"/>
      <c r="C87" s="58" t="s">
        <v>262</v>
      </c>
      <c r="D87" s="29" t="s">
        <v>263</v>
      </c>
      <c r="E87" s="19">
        <v>301</v>
      </c>
      <c r="F87" s="20" t="s">
        <v>264</v>
      </c>
      <c r="G87" s="21">
        <f t="shared" si="67"/>
        <v>305000000</v>
      </c>
      <c r="H87" s="22">
        <v>130000000</v>
      </c>
      <c r="I87" s="22">
        <f t="shared" si="73"/>
        <v>-175000000</v>
      </c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>
        <f>200000000</f>
        <v>200000000</v>
      </c>
      <c r="AB87" s="21"/>
      <c r="AC87" s="21">
        <v>100000000</v>
      </c>
      <c r="AD87" s="21"/>
      <c r="AE87" s="21"/>
      <c r="AF87" s="21">
        <v>5000000</v>
      </c>
      <c r="AG87" s="23">
        <f t="shared" si="55"/>
        <v>0.33443985573770491</v>
      </c>
      <c r="AH87" s="21">
        <f t="shared" si="41"/>
        <v>102004156</v>
      </c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>
        <f>+'[1]Acuerdo PLAN INVERSIÓN 2021'!$X$6196</f>
        <v>10424156</v>
      </c>
      <c r="BA87" s="21"/>
      <c r="BB87" s="21">
        <f>+'[1]Acuerdo PLAN INVERSIÓN 2021'!$AB$6196</f>
        <v>91580000</v>
      </c>
      <c r="BC87" s="21"/>
      <c r="BD87" s="21"/>
      <c r="BE87" s="21"/>
      <c r="BF87" s="23">
        <f t="shared" si="59"/>
        <v>0.66556014426229515</v>
      </c>
      <c r="BG87" s="21">
        <f t="shared" si="68"/>
        <v>202995844</v>
      </c>
      <c r="BH87" s="21">
        <f t="shared" si="69"/>
        <v>0</v>
      </c>
      <c r="BI87" s="21">
        <f t="shared" si="69"/>
        <v>0</v>
      </c>
      <c r="BJ87" s="21">
        <f t="shared" si="69"/>
        <v>0</v>
      </c>
      <c r="BK87" s="21">
        <f t="shared" si="69"/>
        <v>0</v>
      </c>
      <c r="BL87" s="21">
        <f t="shared" si="69"/>
        <v>0</v>
      </c>
      <c r="BM87" s="21">
        <f t="shared" si="69"/>
        <v>0</v>
      </c>
      <c r="BN87" s="21">
        <f t="shared" si="69"/>
        <v>0</v>
      </c>
      <c r="BO87" s="21">
        <f t="shared" si="69"/>
        <v>0</v>
      </c>
      <c r="BP87" s="21">
        <f t="shared" si="69"/>
        <v>0</v>
      </c>
      <c r="BQ87" s="21">
        <f t="shared" si="69"/>
        <v>0</v>
      </c>
      <c r="BR87" s="21">
        <f t="shared" si="69"/>
        <v>0</v>
      </c>
      <c r="BS87" s="21">
        <f t="shared" si="69"/>
        <v>0</v>
      </c>
      <c r="BT87" s="21">
        <f t="shared" si="69"/>
        <v>0</v>
      </c>
      <c r="BU87" s="21">
        <f t="shared" si="69"/>
        <v>0</v>
      </c>
      <c r="BV87" s="21">
        <f t="shared" si="69"/>
        <v>0</v>
      </c>
      <c r="BW87" s="21">
        <f t="shared" si="69"/>
        <v>0</v>
      </c>
      <c r="BX87" s="21">
        <f t="shared" si="70"/>
        <v>0</v>
      </c>
      <c r="BY87" s="21">
        <f t="shared" si="70"/>
        <v>189575844</v>
      </c>
      <c r="BZ87" s="21">
        <f t="shared" si="70"/>
        <v>0</v>
      </c>
      <c r="CA87" s="21">
        <f t="shared" si="70"/>
        <v>8420000</v>
      </c>
      <c r="CB87" s="21">
        <f t="shared" si="70"/>
        <v>0</v>
      </c>
      <c r="CC87" s="21">
        <f t="shared" si="70"/>
        <v>0</v>
      </c>
      <c r="CD87" s="21">
        <f t="shared" si="70"/>
        <v>5000000</v>
      </c>
      <c r="CE87" s="23">
        <f t="shared" si="56"/>
        <v>0.33443985573770491</v>
      </c>
      <c r="CF87" s="21">
        <f t="shared" si="74"/>
        <v>102004156</v>
      </c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>
        <f>+'[5]Acuerdo PLAN INVERSIÓN 2021'!$H$5894-CZ87</f>
        <v>10424156</v>
      </c>
      <c r="CY87" s="21"/>
      <c r="CZ87" s="21">
        <f>+'[5]Acuerdo PLAN INVERSIÓN 2021'!$H$5901</f>
        <v>91580000</v>
      </c>
      <c r="DA87" s="21"/>
      <c r="DB87" s="21"/>
      <c r="DC87" s="21"/>
      <c r="DD87" s="23">
        <f t="shared" si="57"/>
        <v>0.66556014426229515</v>
      </c>
      <c r="DE87" s="21">
        <f t="shared" si="46"/>
        <v>202995844</v>
      </c>
      <c r="DF87" s="21">
        <f t="shared" si="71"/>
        <v>0</v>
      </c>
      <c r="DG87" s="21">
        <f t="shared" si="71"/>
        <v>0</v>
      </c>
      <c r="DH87" s="21">
        <f t="shared" si="71"/>
        <v>0</v>
      </c>
      <c r="DI87" s="21">
        <f t="shared" si="71"/>
        <v>0</v>
      </c>
      <c r="DJ87" s="21">
        <f t="shared" si="71"/>
        <v>0</v>
      </c>
      <c r="DK87" s="21">
        <f t="shared" si="71"/>
        <v>0</v>
      </c>
      <c r="DL87" s="21">
        <f t="shared" si="71"/>
        <v>0</v>
      </c>
      <c r="DM87" s="21">
        <f t="shared" si="71"/>
        <v>0</v>
      </c>
      <c r="DN87" s="21">
        <f t="shared" si="71"/>
        <v>0</v>
      </c>
      <c r="DO87" s="21">
        <f t="shared" si="71"/>
        <v>0</v>
      </c>
      <c r="DP87" s="21">
        <f t="shared" si="71"/>
        <v>0</v>
      </c>
      <c r="DQ87" s="21">
        <f t="shared" si="71"/>
        <v>0</v>
      </c>
      <c r="DR87" s="21">
        <f t="shared" si="71"/>
        <v>0</v>
      </c>
      <c r="DS87" s="21">
        <f t="shared" si="71"/>
        <v>0</v>
      </c>
      <c r="DT87" s="21">
        <f t="shared" si="71"/>
        <v>0</v>
      </c>
      <c r="DU87" s="21">
        <f t="shared" si="71"/>
        <v>0</v>
      </c>
      <c r="DV87" s="21">
        <f t="shared" si="72"/>
        <v>0</v>
      </c>
      <c r="DW87" s="21">
        <f t="shared" si="72"/>
        <v>189575844</v>
      </c>
      <c r="DX87" s="21">
        <f t="shared" si="72"/>
        <v>0</v>
      </c>
      <c r="DY87" s="21">
        <f t="shared" si="72"/>
        <v>8420000</v>
      </c>
      <c r="DZ87" s="21">
        <f t="shared" si="72"/>
        <v>0</v>
      </c>
      <c r="EA87" s="21">
        <f t="shared" si="72"/>
        <v>0</v>
      </c>
      <c r="EB87" s="21">
        <f t="shared" si="72"/>
        <v>5000000</v>
      </c>
      <c r="ED87" s="27">
        <f t="shared" si="58"/>
        <v>305000000</v>
      </c>
      <c r="EE87" s="27">
        <f t="shared" si="60"/>
        <v>305000000</v>
      </c>
      <c r="EF87" s="27">
        <f t="shared" si="61"/>
        <v>305000000</v>
      </c>
    </row>
    <row r="88" spans="1:136" s="38" customFormat="1" ht="19.2" customHeight="1" x14ac:dyDescent="0.3">
      <c r="A88" s="180"/>
      <c r="B88" s="171" t="s">
        <v>265</v>
      </c>
      <c r="C88" s="44" t="s">
        <v>266</v>
      </c>
      <c r="D88" s="29" t="s">
        <v>267</v>
      </c>
      <c r="E88" s="30">
        <v>301</v>
      </c>
      <c r="F88" s="31" t="s">
        <v>243</v>
      </c>
      <c r="G88" s="21">
        <f t="shared" si="67"/>
        <v>238583573</v>
      </c>
      <c r="H88" s="22">
        <v>205624500</v>
      </c>
      <c r="I88" s="22">
        <f t="shared" si="73"/>
        <v>-32959073</v>
      </c>
      <c r="J88" s="47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>
        <v>91142282</v>
      </c>
      <c r="AB88" s="21"/>
      <c r="AC88" s="47">
        <v>147441291</v>
      </c>
      <c r="AD88" s="21"/>
      <c r="AE88" s="21"/>
      <c r="AF88" s="21"/>
      <c r="AG88" s="23">
        <f t="shared" si="55"/>
        <v>0.34976290676978</v>
      </c>
      <c r="AH88" s="21">
        <f t="shared" si="41"/>
        <v>83447684</v>
      </c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>
        <f>+'[1]Acuerdo PLAN INVERSIÓN 2021'!$X$6226</f>
        <v>63489351</v>
      </c>
      <c r="BA88" s="21"/>
      <c r="BB88" s="21">
        <f>+'[1]Acuerdo PLAN INVERSIÓN 2021'!$AB$6226</f>
        <v>19958333</v>
      </c>
      <c r="BC88" s="21"/>
      <c r="BD88" s="21"/>
      <c r="BE88" s="21"/>
      <c r="BF88" s="57">
        <f t="shared" si="59"/>
        <v>0.65023709323021994</v>
      </c>
      <c r="BG88" s="21">
        <f t="shared" si="68"/>
        <v>155135889</v>
      </c>
      <c r="BH88" s="21">
        <f t="shared" si="69"/>
        <v>0</v>
      </c>
      <c r="BI88" s="21">
        <f t="shared" si="69"/>
        <v>0</v>
      </c>
      <c r="BJ88" s="21">
        <f t="shared" si="69"/>
        <v>0</v>
      </c>
      <c r="BK88" s="21">
        <f t="shared" si="69"/>
        <v>0</v>
      </c>
      <c r="BL88" s="21">
        <f t="shared" si="69"/>
        <v>0</v>
      </c>
      <c r="BM88" s="21">
        <f t="shared" si="69"/>
        <v>0</v>
      </c>
      <c r="BN88" s="21">
        <f t="shared" si="69"/>
        <v>0</v>
      </c>
      <c r="BO88" s="21">
        <f t="shared" si="69"/>
        <v>0</v>
      </c>
      <c r="BP88" s="21">
        <f t="shared" si="69"/>
        <v>0</v>
      </c>
      <c r="BQ88" s="21">
        <f t="shared" si="69"/>
        <v>0</v>
      </c>
      <c r="BR88" s="21">
        <f t="shared" si="69"/>
        <v>0</v>
      </c>
      <c r="BS88" s="21">
        <f t="shared" si="69"/>
        <v>0</v>
      </c>
      <c r="BT88" s="21">
        <f t="shared" si="69"/>
        <v>0</v>
      </c>
      <c r="BU88" s="21">
        <f t="shared" si="69"/>
        <v>0</v>
      </c>
      <c r="BV88" s="21">
        <f t="shared" si="69"/>
        <v>0</v>
      </c>
      <c r="BW88" s="21">
        <f t="shared" si="69"/>
        <v>0</v>
      </c>
      <c r="BX88" s="21">
        <f t="shared" si="70"/>
        <v>0</v>
      </c>
      <c r="BY88" s="21">
        <f t="shared" si="70"/>
        <v>27652931</v>
      </c>
      <c r="BZ88" s="21">
        <f t="shared" si="70"/>
        <v>0</v>
      </c>
      <c r="CA88" s="21">
        <f t="shared" si="70"/>
        <v>127482958</v>
      </c>
      <c r="CB88" s="21">
        <f t="shared" si="70"/>
        <v>0</v>
      </c>
      <c r="CC88" s="21">
        <f t="shared" si="70"/>
        <v>0</v>
      </c>
      <c r="CD88" s="21">
        <f t="shared" si="70"/>
        <v>0</v>
      </c>
      <c r="CE88" s="23">
        <f t="shared" si="56"/>
        <v>0.34976290676978</v>
      </c>
      <c r="CF88" s="21">
        <f t="shared" si="74"/>
        <v>83447684</v>
      </c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>
        <f>+'[1]Acuerdo PLAN INVERSIÓN 2021'!$X$6226</f>
        <v>63489351</v>
      </c>
      <c r="CY88" s="21"/>
      <c r="CZ88" s="21">
        <f>+'[1]Acuerdo PLAN INVERSIÓN 2021'!$AB$6226</f>
        <v>19958333</v>
      </c>
      <c r="DA88" s="21"/>
      <c r="DB88" s="21"/>
      <c r="DC88" s="21"/>
      <c r="DD88" s="57">
        <f t="shared" si="57"/>
        <v>0.65023709323021994</v>
      </c>
      <c r="DE88" s="21">
        <f t="shared" si="46"/>
        <v>155135889</v>
      </c>
      <c r="DF88" s="21">
        <f t="shared" si="71"/>
        <v>0</v>
      </c>
      <c r="DG88" s="21">
        <f t="shared" si="71"/>
        <v>0</v>
      </c>
      <c r="DH88" s="21">
        <f t="shared" si="71"/>
        <v>0</v>
      </c>
      <c r="DI88" s="21">
        <f t="shared" si="71"/>
        <v>0</v>
      </c>
      <c r="DJ88" s="21">
        <f t="shared" si="71"/>
        <v>0</v>
      </c>
      <c r="DK88" s="21">
        <f t="shared" si="71"/>
        <v>0</v>
      </c>
      <c r="DL88" s="21">
        <f t="shared" si="71"/>
        <v>0</v>
      </c>
      <c r="DM88" s="21">
        <f t="shared" si="71"/>
        <v>0</v>
      </c>
      <c r="DN88" s="21">
        <f t="shared" si="71"/>
        <v>0</v>
      </c>
      <c r="DO88" s="21">
        <f t="shared" si="71"/>
        <v>0</v>
      </c>
      <c r="DP88" s="21">
        <f t="shared" si="71"/>
        <v>0</v>
      </c>
      <c r="DQ88" s="21">
        <f t="shared" si="71"/>
        <v>0</v>
      </c>
      <c r="DR88" s="21">
        <f t="shared" si="71"/>
        <v>0</v>
      </c>
      <c r="DS88" s="21">
        <f t="shared" si="71"/>
        <v>0</v>
      </c>
      <c r="DT88" s="21">
        <f t="shared" si="71"/>
        <v>0</v>
      </c>
      <c r="DU88" s="21">
        <f t="shared" si="71"/>
        <v>0</v>
      </c>
      <c r="DV88" s="21">
        <f t="shared" si="72"/>
        <v>0</v>
      </c>
      <c r="DW88" s="21">
        <f t="shared" si="72"/>
        <v>27652931</v>
      </c>
      <c r="DX88" s="21">
        <f t="shared" si="72"/>
        <v>0</v>
      </c>
      <c r="DY88" s="21">
        <f t="shared" si="72"/>
        <v>127482958</v>
      </c>
      <c r="DZ88" s="21">
        <f t="shared" si="72"/>
        <v>0</v>
      </c>
      <c r="EA88" s="21">
        <f t="shared" si="72"/>
        <v>0</v>
      </c>
      <c r="EB88" s="21">
        <f t="shared" si="72"/>
        <v>0</v>
      </c>
      <c r="ED88" s="27">
        <f t="shared" si="58"/>
        <v>238583573</v>
      </c>
      <c r="EE88" s="27">
        <f t="shared" si="60"/>
        <v>238583573</v>
      </c>
      <c r="EF88" s="27">
        <f t="shared" si="61"/>
        <v>238583573</v>
      </c>
    </row>
    <row r="89" spans="1:136" ht="28.5" customHeight="1" x14ac:dyDescent="0.3">
      <c r="A89" s="180"/>
      <c r="B89" s="173"/>
      <c r="C89" s="44" t="s">
        <v>268</v>
      </c>
      <c r="D89" s="18" t="s">
        <v>269</v>
      </c>
      <c r="E89" s="19">
        <v>301</v>
      </c>
      <c r="F89" s="20" t="s">
        <v>270</v>
      </c>
      <c r="G89" s="21">
        <f t="shared" si="67"/>
        <v>327243035</v>
      </c>
      <c r="H89" s="22">
        <v>411249000</v>
      </c>
      <c r="I89" s="22">
        <f t="shared" si="73"/>
        <v>84005965</v>
      </c>
      <c r="J89" s="21"/>
      <c r="K89" s="21"/>
      <c r="L89" s="21">
        <v>24243035</v>
      </c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>
        <v>300000000</v>
      </c>
      <c r="AD89" s="21"/>
      <c r="AE89" s="21"/>
      <c r="AF89" s="21">
        <v>3000000</v>
      </c>
      <c r="AG89" s="23">
        <f t="shared" si="55"/>
        <v>0.90361994411890234</v>
      </c>
      <c r="AH89" s="21">
        <f t="shared" si="41"/>
        <v>295703333</v>
      </c>
      <c r="AI89" s="21"/>
      <c r="AJ89" s="21"/>
      <c r="AK89" s="21">
        <f>+'[7]Acuerdo PLAN INVERSIÓN 2021'!$K$3521</f>
        <v>2000000</v>
      </c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>
        <f>+'[1]Acuerdo PLAN INVERSIÓN 2021'!$AB$6291</f>
        <v>290703333</v>
      </c>
      <c r="BC89" s="21"/>
      <c r="BD89" s="21"/>
      <c r="BE89" s="21">
        <f>+'[8]Acuerdo PLAN INVERSIÓN 2021'!$AF$5143</f>
        <v>3000000</v>
      </c>
      <c r="BF89" s="23">
        <f t="shared" si="59"/>
        <v>9.6380055881097659E-2</v>
      </c>
      <c r="BG89" s="21">
        <f t="shared" si="68"/>
        <v>31539702</v>
      </c>
      <c r="BH89" s="21">
        <f t="shared" si="69"/>
        <v>0</v>
      </c>
      <c r="BI89" s="21">
        <f t="shared" si="69"/>
        <v>0</v>
      </c>
      <c r="BJ89" s="21">
        <f t="shared" si="69"/>
        <v>22243035</v>
      </c>
      <c r="BK89" s="21">
        <f t="shared" si="69"/>
        <v>0</v>
      </c>
      <c r="BL89" s="21">
        <f t="shared" si="69"/>
        <v>0</v>
      </c>
      <c r="BM89" s="21">
        <f t="shared" si="69"/>
        <v>0</v>
      </c>
      <c r="BN89" s="21">
        <f t="shared" si="69"/>
        <v>0</v>
      </c>
      <c r="BO89" s="21">
        <f t="shared" si="69"/>
        <v>0</v>
      </c>
      <c r="BP89" s="21">
        <f t="shared" si="69"/>
        <v>0</v>
      </c>
      <c r="BQ89" s="21">
        <f t="shared" si="69"/>
        <v>0</v>
      </c>
      <c r="BR89" s="21">
        <f t="shared" si="69"/>
        <v>0</v>
      </c>
      <c r="BS89" s="21">
        <f t="shared" si="69"/>
        <v>0</v>
      </c>
      <c r="BT89" s="21">
        <f t="shared" si="69"/>
        <v>0</v>
      </c>
      <c r="BU89" s="21">
        <f t="shared" si="69"/>
        <v>0</v>
      </c>
      <c r="BV89" s="21">
        <f t="shared" si="69"/>
        <v>0</v>
      </c>
      <c r="BW89" s="21">
        <f t="shared" si="69"/>
        <v>0</v>
      </c>
      <c r="BX89" s="21">
        <f t="shared" si="70"/>
        <v>0</v>
      </c>
      <c r="BY89" s="21">
        <f t="shared" si="70"/>
        <v>0</v>
      </c>
      <c r="BZ89" s="21">
        <f t="shared" si="70"/>
        <v>0</v>
      </c>
      <c r="CA89" s="21">
        <f t="shared" si="70"/>
        <v>9296667</v>
      </c>
      <c r="CB89" s="21">
        <f t="shared" si="70"/>
        <v>0</v>
      </c>
      <c r="CC89" s="21">
        <f t="shared" si="70"/>
        <v>0</v>
      </c>
      <c r="CD89" s="21">
        <f t="shared" si="70"/>
        <v>0</v>
      </c>
      <c r="CE89" s="23">
        <f t="shared" si="56"/>
        <v>0.90361994411890234</v>
      </c>
      <c r="CF89" s="21">
        <f t="shared" si="74"/>
        <v>295703333</v>
      </c>
      <c r="CG89" s="21"/>
      <c r="CH89" s="21"/>
      <c r="CI89" s="21">
        <f>+'[7]Acuerdo PLAN INVERSIÓN 2021'!$H$3546</f>
        <v>2000000</v>
      </c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>
        <f>+'[3]Acuerdo PLAN INVERSIÓN 2021'!$H$4281-CI89</f>
        <v>290703333</v>
      </c>
      <c r="DA89" s="21"/>
      <c r="DB89" s="21"/>
      <c r="DC89" s="21">
        <f>+'[5]Acuerdo PLAN INVERSIÓN 2021'!$H$6035</f>
        <v>3000000</v>
      </c>
      <c r="DD89" s="23">
        <f t="shared" si="57"/>
        <v>9.6380055881097659E-2</v>
      </c>
      <c r="DE89" s="21">
        <f t="shared" si="46"/>
        <v>31539702</v>
      </c>
      <c r="DF89" s="21">
        <f t="shared" si="71"/>
        <v>0</v>
      </c>
      <c r="DG89" s="21">
        <f t="shared" si="71"/>
        <v>0</v>
      </c>
      <c r="DH89" s="21">
        <f t="shared" si="71"/>
        <v>22243035</v>
      </c>
      <c r="DI89" s="21">
        <f t="shared" si="71"/>
        <v>0</v>
      </c>
      <c r="DJ89" s="21">
        <f t="shared" si="71"/>
        <v>0</v>
      </c>
      <c r="DK89" s="21">
        <f t="shared" si="71"/>
        <v>0</v>
      </c>
      <c r="DL89" s="21">
        <f t="shared" si="71"/>
        <v>0</v>
      </c>
      <c r="DM89" s="21">
        <f t="shared" si="71"/>
        <v>0</v>
      </c>
      <c r="DN89" s="21">
        <f t="shared" si="71"/>
        <v>0</v>
      </c>
      <c r="DO89" s="21">
        <f t="shared" si="71"/>
        <v>0</v>
      </c>
      <c r="DP89" s="21">
        <f t="shared" si="71"/>
        <v>0</v>
      </c>
      <c r="DQ89" s="21">
        <f t="shared" si="71"/>
        <v>0</v>
      </c>
      <c r="DR89" s="21">
        <f t="shared" si="71"/>
        <v>0</v>
      </c>
      <c r="DS89" s="21">
        <f t="shared" si="71"/>
        <v>0</v>
      </c>
      <c r="DT89" s="21">
        <f t="shared" si="71"/>
        <v>0</v>
      </c>
      <c r="DU89" s="21">
        <f t="shared" si="71"/>
        <v>0</v>
      </c>
      <c r="DV89" s="21">
        <f t="shared" si="72"/>
        <v>0</v>
      </c>
      <c r="DW89" s="21">
        <f t="shared" si="72"/>
        <v>0</v>
      </c>
      <c r="DX89" s="21">
        <f t="shared" si="72"/>
        <v>0</v>
      </c>
      <c r="DY89" s="21">
        <f t="shared" si="72"/>
        <v>9296667</v>
      </c>
      <c r="DZ89" s="21">
        <f t="shared" si="72"/>
        <v>0</v>
      </c>
      <c r="EA89" s="21">
        <f t="shared" si="72"/>
        <v>0</v>
      </c>
      <c r="EB89" s="21">
        <f t="shared" si="72"/>
        <v>0</v>
      </c>
      <c r="ED89" s="27">
        <f t="shared" si="58"/>
        <v>327243035</v>
      </c>
      <c r="EE89" s="27">
        <f t="shared" si="60"/>
        <v>327243035</v>
      </c>
      <c r="EF89" s="27">
        <f t="shared" si="61"/>
        <v>327243035</v>
      </c>
    </row>
    <row r="90" spans="1:136" ht="55.5" customHeight="1" x14ac:dyDescent="0.3">
      <c r="A90" s="180"/>
      <c r="B90" s="171" t="s">
        <v>271</v>
      </c>
      <c r="C90" s="44" t="s">
        <v>272</v>
      </c>
      <c r="D90" s="29" t="s">
        <v>273</v>
      </c>
      <c r="E90" s="19">
        <v>301</v>
      </c>
      <c r="F90" s="20" t="s">
        <v>274</v>
      </c>
      <c r="G90" s="21">
        <f t="shared" si="67"/>
        <v>135362850</v>
      </c>
      <c r="H90" s="22">
        <v>70000000</v>
      </c>
      <c r="I90" s="22">
        <f t="shared" si="73"/>
        <v>-65362850</v>
      </c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>
        <v>40000000</v>
      </c>
      <c r="AA90" s="21">
        <f>40000000</f>
        <v>40000000</v>
      </c>
      <c r="AB90" s="21"/>
      <c r="AC90" s="21"/>
      <c r="AD90" s="21"/>
      <c r="AE90" s="21"/>
      <c r="AF90" s="21">
        <f>34083538+3500000-5000000+1500000+6279312+5000000+10000000</f>
        <v>55362850</v>
      </c>
      <c r="AG90" s="23">
        <f t="shared" si="55"/>
        <v>0.76845593898178122</v>
      </c>
      <c r="AH90" s="21">
        <f t="shared" si="41"/>
        <v>104020386</v>
      </c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>
        <f>+'[1]Acuerdo PLAN INVERSIÓN 2021'!$AA$6344</f>
        <v>34453333</v>
      </c>
      <c r="AZ90" s="21">
        <f>+'[3]Acuerdo PLAN INVERSIÓN 2021'!$X$4331</f>
        <v>18500000</v>
      </c>
      <c r="BA90" s="21"/>
      <c r="BB90" s="21"/>
      <c r="BC90" s="21"/>
      <c r="BD90" s="21"/>
      <c r="BE90" s="21">
        <f>+'[1]Acuerdo PLAN INVERSIÓN 2021'!$AF$6344</f>
        <v>51067053</v>
      </c>
      <c r="BF90" s="23">
        <f t="shared" si="59"/>
        <v>0.23154406101821878</v>
      </c>
      <c r="BG90" s="21">
        <f t="shared" si="68"/>
        <v>31342464</v>
      </c>
      <c r="BH90" s="21">
        <f t="shared" si="69"/>
        <v>0</v>
      </c>
      <c r="BI90" s="21">
        <f t="shared" si="69"/>
        <v>0</v>
      </c>
      <c r="BJ90" s="21">
        <f t="shared" si="69"/>
        <v>0</v>
      </c>
      <c r="BK90" s="21">
        <f t="shared" si="69"/>
        <v>0</v>
      </c>
      <c r="BL90" s="21">
        <f t="shared" si="69"/>
        <v>0</v>
      </c>
      <c r="BM90" s="21">
        <f t="shared" si="69"/>
        <v>0</v>
      </c>
      <c r="BN90" s="21">
        <f t="shared" si="69"/>
        <v>0</v>
      </c>
      <c r="BO90" s="21">
        <f t="shared" si="69"/>
        <v>0</v>
      </c>
      <c r="BP90" s="21">
        <f t="shared" si="69"/>
        <v>0</v>
      </c>
      <c r="BQ90" s="21">
        <f t="shared" si="69"/>
        <v>0</v>
      </c>
      <c r="BR90" s="21">
        <f t="shared" si="69"/>
        <v>0</v>
      </c>
      <c r="BS90" s="21">
        <f t="shared" si="69"/>
        <v>0</v>
      </c>
      <c r="BT90" s="21">
        <f t="shared" si="69"/>
        <v>0</v>
      </c>
      <c r="BU90" s="21">
        <f t="shared" si="69"/>
        <v>0</v>
      </c>
      <c r="BV90" s="21">
        <f t="shared" si="69"/>
        <v>0</v>
      </c>
      <c r="BW90" s="21">
        <f t="shared" si="69"/>
        <v>0</v>
      </c>
      <c r="BX90" s="21">
        <f t="shared" si="70"/>
        <v>5546667</v>
      </c>
      <c r="BY90" s="21">
        <f t="shared" si="70"/>
        <v>21500000</v>
      </c>
      <c r="BZ90" s="21">
        <f t="shared" si="70"/>
        <v>0</v>
      </c>
      <c r="CA90" s="21">
        <f t="shared" si="70"/>
        <v>0</v>
      </c>
      <c r="CB90" s="21">
        <f t="shared" si="70"/>
        <v>0</v>
      </c>
      <c r="CC90" s="21">
        <f t="shared" si="70"/>
        <v>0</v>
      </c>
      <c r="CD90" s="21">
        <f t="shared" si="70"/>
        <v>4295797</v>
      </c>
      <c r="CE90" s="23">
        <f t="shared" si="56"/>
        <v>0.76845593898178122</v>
      </c>
      <c r="CF90" s="21">
        <f t="shared" si="74"/>
        <v>104020386</v>
      </c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>
        <f>+'[1]Acuerdo PLAN INVERSIÓN 2021'!$AA$6344</f>
        <v>34453333</v>
      </c>
      <c r="CX90" s="21">
        <f>+'[3]Acuerdo PLAN INVERSIÓN 2021'!$X$4331</f>
        <v>18500000</v>
      </c>
      <c r="CY90" s="21"/>
      <c r="CZ90" s="21"/>
      <c r="DA90" s="21"/>
      <c r="DB90" s="21"/>
      <c r="DC90" s="21">
        <f>+'[1]Acuerdo PLAN INVERSIÓN 2021'!$AF$6344</f>
        <v>51067053</v>
      </c>
      <c r="DD90" s="23">
        <f t="shared" si="57"/>
        <v>0.23154406101821878</v>
      </c>
      <c r="DE90" s="21">
        <f t="shared" si="46"/>
        <v>31342464</v>
      </c>
      <c r="DF90" s="21">
        <f t="shared" si="71"/>
        <v>0</v>
      </c>
      <c r="DG90" s="21">
        <f t="shared" si="71"/>
        <v>0</v>
      </c>
      <c r="DH90" s="21">
        <f t="shared" si="71"/>
        <v>0</v>
      </c>
      <c r="DI90" s="21">
        <f t="shared" si="71"/>
        <v>0</v>
      </c>
      <c r="DJ90" s="21">
        <f t="shared" si="71"/>
        <v>0</v>
      </c>
      <c r="DK90" s="21">
        <f t="shared" si="71"/>
        <v>0</v>
      </c>
      <c r="DL90" s="21">
        <f t="shared" si="71"/>
        <v>0</v>
      </c>
      <c r="DM90" s="21">
        <f t="shared" si="71"/>
        <v>0</v>
      </c>
      <c r="DN90" s="21">
        <f t="shared" si="71"/>
        <v>0</v>
      </c>
      <c r="DO90" s="21">
        <f t="shared" si="71"/>
        <v>0</v>
      </c>
      <c r="DP90" s="21">
        <f t="shared" si="71"/>
        <v>0</v>
      </c>
      <c r="DQ90" s="21">
        <f t="shared" si="71"/>
        <v>0</v>
      </c>
      <c r="DR90" s="21">
        <f t="shared" si="71"/>
        <v>0</v>
      </c>
      <c r="DS90" s="21">
        <f t="shared" si="71"/>
        <v>0</v>
      </c>
      <c r="DT90" s="21">
        <f t="shared" si="71"/>
        <v>0</v>
      </c>
      <c r="DU90" s="21">
        <f t="shared" si="71"/>
        <v>0</v>
      </c>
      <c r="DV90" s="21">
        <f t="shared" si="72"/>
        <v>5546667</v>
      </c>
      <c r="DW90" s="21">
        <f t="shared" si="72"/>
        <v>21500000</v>
      </c>
      <c r="DX90" s="21">
        <f t="shared" si="72"/>
        <v>0</v>
      </c>
      <c r="DY90" s="21">
        <f t="shared" si="72"/>
        <v>0</v>
      </c>
      <c r="DZ90" s="21">
        <f t="shared" si="72"/>
        <v>0</v>
      </c>
      <c r="EA90" s="21">
        <f t="shared" si="72"/>
        <v>0</v>
      </c>
      <c r="EB90" s="21">
        <f t="shared" si="72"/>
        <v>4295797</v>
      </c>
      <c r="ED90" s="27">
        <f t="shared" si="58"/>
        <v>135362850</v>
      </c>
      <c r="EE90" s="27">
        <f t="shared" si="60"/>
        <v>135362850</v>
      </c>
      <c r="EF90" s="27">
        <f t="shared" si="61"/>
        <v>135362850</v>
      </c>
    </row>
    <row r="91" spans="1:136" ht="21" customHeight="1" x14ac:dyDescent="0.3">
      <c r="A91" s="180"/>
      <c r="B91" s="172"/>
      <c r="C91" s="44" t="s">
        <v>275</v>
      </c>
      <c r="D91" s="29" t="s">
        <v>276</v>
      </c>
      <c r="E91" s="30">
        <v>301</v>
      </c>
      <c r="F91" s="31" t="s">
        <v>243</v>
      </c>
      <c r="G91" s="21">
        <f t="shared" si="67"/>
        <v>152100000</v>
      </c>
      <c r="H91" s="22">
        <v>96000000</v>
      </c>
      <c r="I91" s="22">
        <f t="shared" si="73"/>
        <v>-56100000</v>
      </c>
      <c r="J91" s="21">
        <f>32100000</f>
        <v>32100000</v>
      </c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>
        <v>60000000</v>
      </c>
      <c r="AA91" s="21">
        <f>60000000</f>
        <v>60000000</v>
      </c>
      <c r="AB91" s="21"/>
      <c r="AC91" s="21"/>
      <c r="AD91" s="21"/>
      <c r="AE91" s="21"/>
      <c r="AF91" s="21"/>
      <c r="AG91" s="23">
        <f t="shared" si="55"/>
        <v>0.65882282708744244</v>
      </c>
      <c r="AH91" s="21">
        <f t="shared" si="41"/>
        <v>100206952</v>
      </c>
      <c r="AI91" s="21">
        <f>+'[1]Acuerdo PLAN INVERSIÓN 2021'!$L$6407</f>
        <v>31816666</v>
      </c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>
        <f>+'[1]Acuerdo PLAN INVERSIÓN 2021'!$AA$6407</f>
        <v>39246663</v>
      </c>
      <c r="AZ91" s="21">
        <f>+'[1]Acuerdo PLAN INVERSIÓN 2021'!$X$6407</f>
        <v>29143623</v>
      </c>
      <c r="BA91" s="21"/>
      <c r="BB91" s="21"/>
      <c r="BC91" s="21"/>
      <c r="BD91" s="21"/>
      <c r="BE91" s="21"/>
      <c r="BF91" s="23">
        <f t="shared" si="59"/>
        <v>0.34117717291255756</v>
      </c>
      <c r="BG91" s="21">
        <f t="shared" si="68"/>
        <v>51893048</v>
      </c>
      <c r="BH91" s="21">
        <f t="shared" si="69"/>
        <v>283334</v>
      </c>
      <c r="BI91" s="21">
        <f t="shared" si="69"/>
        <v>0</v>
      </c>
      <c r="BJ91" s="21">
        <f t="shared" si="69"/>
        <v>0</v>
      </c>
      <c r="BK91" s="21">
        <f t="shared" si="69"/>
        <v>0</v>
      </c>
      <c r="BL91" s="21">
        <f t="shared" si="69"/>
        <v>0</v>
      </c>
      <c r="BM91" s="21">
        <f t="shared" si="69"/>
        <v>0</v>
      </c>
      <c r="BN91" s="21">
        <f t="shared" si="69"/>
        <v>0</v>
      </c>
      <c r="BO91" s="21">
        <f t="shared" si="69"/>
        <v>0</v>
      </c>
      <c r="BP91" s="21">
        <f t="shared" si="69"/>
        <v>0</v>
      </c>
      <c r="BQ91" s="21">
        <f t="shared" si="69"/>
        <v>0</v>
      </c>
      <c r="BR91" s="21">
        <f t="shared" si="69"/>
        <v>0</v>
      </c>
      <c r="BS91" s="21">
        <f t="shared" si="69"/>
        <v>0</v>
      </c>
      <c r="BT91" s="21">
        <f t="shared" si="69"/>
        <v>0</v>
      </c>
      <c r="BU91" s="21">
        <f t="shared" si="69"/>
        <v>0</v>
      </c>
      <c r="BV91" s="21">
        <f t="shared" si="69"/>
        <v>0</v>
      </c>
      <c r="BW91" s="21">
        <f t="shared" si="69"/>
        <v>0</v>
      </c>
      <c r="BX91" s="21">
        <f t="shared" si="70"/>
        <v>20753337</v>
      </c>
      <c r="BY91" s="21">
        <f t="shared" si="70"/>
        <v>30856377</v>
      </c>
      <c r="BZ91" s="21">
        <f t="shared" si="70"/>
        <v>0</v>
      </c>
      <c r="CA91" s="21">
        <f t="shared" si="70"/>
        <v>0</v>
      </c>
      <c r="CB91" s="21">
        <f t="shared" si="70"/>
        <v>0</v>
      </c>
      <c r="CC91" s="21">
        <f t="shared" si="70"/>
        <v>0</v>
      </c>
      <c r="CD91" s="21">
        <f t="shared" si="70"/>
        <v>0</v>
      </c>
      <c r="CE91" s="23">
        <f t="shared" si="56"/>
        <v>0.65882282708744244</v>
      </c>
      <c r="CF91" s="21">
        <f t="shared" si="74"/>
        <v>100206952</v>
      </c>
      <c r="CG91" s="21">
        <f>+'[8]Acuerdo PLAN INVERSIÓN 2021'!$H$5279+'[8]Acuerdo PLAN INVERSIÓN 2021'!$H$5282</f>
        <v>31816666</v>
      </c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>
        <f>+'[8]Acuerdo PLAN INVERSIÓN 2021'!$H$5245+'[8]Acuerdo PLAN INVERSIÓN 2021'!$H$5248+'[8]Acuerdo PLAN INVERSIÓN 2021'!$H$5254+'[8]Acuerdo PLAN INVERSIÓN 2021'!$H$5264</f>
        <v>39246663</v>
      </c>
      <c r="CX91" s="21">
        <f>+'[8]Acuerdo PLAN INVERSIÓN 2021'!$H$5268+'[8]Acuerdo PLAN INVERSIÓN 2021'!$H$5271</f>
        <v>29143623</v>
      </c>
      <c r="CY91" s="21"/>
      <c r="CZ91" s="21"/>
      <c r="DA91" s="21"/>
      <c r="DB91" s="21"/>
      <c r="DC91" s="21"/>
      <c r="DD91" s="23">
        <f t="shared" si="57"/>
        <v>0.34117717291255756</v>
      </c>
      <c r="DE91" s="21">
        <f t="shared" si="46"/>
        <v>51893048</v>
      </c>
      <c r="DF91" s="21">
        <f t="shared" si="71"/>
        <v>283334</v>
      </c>
      <c r="DG91" s="21">
        <f t="shared" si="71"/>
        <v>0</v>
      </c>
      <c r="DH91" s="21">
        <f t="shared" si="71"/>
        <v>0</v>
      </c>
      <c r="DI91" s="21">
        <f t="shared" si="71"/>
        <v>0</v>
      </c>
      <c r="DJ91" s="21">
        <f t="shared" si="71"/>
        <v>0</v>
      </c>
      <c r="DK91" s="21">
        <f t="shared" si="71"/>
        <v>0</v>
      </c>
      <c r="DL91" s="21">
        <f t="shared" si="71"/>
        <v>0</v>
      </c>
      <c r="DM91" s="21">
        <f t="shared" si="71"/>
        <v>0</v>
      </c>
      <c r="DN91" s="21">
        <f t="shared" si="71"/>
        <v>0</v>
      </c>
      <c r="DO91" s="21">
        <f t="shared" si="71"/>
        <v>0</v>
      </c>
      <c r="DP91" s="21">
        <f t="shared" si="71"/>
        <v>0</v>
      </c>
      <c r="DQ91" s="21">
        <f t="shared" si="71"/>
        <v>0</v>
      </c>
      <c r="DR91" s="21">
        <f t="shared" si="71"/>
        <v>0</v>
      </c>
      <c r="DS91" s="21">
        <f t="shared" si="71"/>
        <v>0</v>
      </c>
      <c r="DT91" s="21">
        <f t="shared" si="71"/>
        <v>0</v>
      </c>
      <c r="DU91" s="21">
        <f t="shared" si="71"/>
        <v>0</v>
      </c>
      <c r="DV91" s="21">
        <f t="shared" si="72"/>
        <v>20753337</v>
      </c>
      <c r="DW91" s="21">
        <f t="shared" si="72"/>
        <v>30856377</v>
      </c>
      <c r="DX91" s="21">
        <f t="shared" si="72"/>
        <v>0</v>
      </c>
      <c r="DY91" s="21">
        <f t="shared" si="72"/>
        <v>0</v>
      </c>
      <c r="DZ91" s="21">
        <f t="shared" si="72"/>
        <v>0</v>
      </c>
      <c r="EA91" s="21">
        <f t="shared" si="72"/>
        <v>0</v>
      </c>
      <c r="EB91" s="21">
        <f t="shared" si="72"/>
        <v>0</v>
      </c>
      <c r="ED91" s="27">
        <f t="shared" si="58"/>
        <v>152100000</v>
      </c>
      <c r="EE91" s="27">
        <f t="shared" si="60"/>
        <v>152100000</v>
      </c>
      <c r="EF91" s="27">
        <f t="shared" si="61"/>
        <v>152100000</v>
      </c>
    </row>
    <row r="92" spans="1:136" ht="19.2" customHeight="1" x14ac:dyDescent="0.3">
      <c r="A92" s="180"/>
      <c r="B92" s="173"/>
      <c r="C92" s="44" t="s">
        <v>277</v>
      </c>
      <c r="D92" s="29" t="s">
        <v>278</v>
      </c>
      <c r="E92" s="19">
        <v>301</v>
      </c>
      <c r="F92" s="20" t="s">
        <v>243</v>
      </c>
      <c r="G92" s="21">
        <f t="shared" si="67"/>
        <v>40000000</v>
      </c>
      <c r="H92" s="22">
        <v>20000000</v>
      </c>
      <c r="I92" s="22">
        <f t="shared" si="73"/>
        <v>-20000000</v>
      </c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>
        <v>10000000</v>
      </c>
      <c r="AA92" s="21">
        <f>30000000</f>
        <v>30000000</v>
      </c>
      <c r="AB92" s="21"/>
      <c r="AC92" s="21"/>
      <c r="AD92" s="21"/>
      <c r="AE92" s="21"/>
      <c r="AF92" s="21"/>
      <c r="AG92" s="23">
        <f t="shared" si="55"/>
        <v>1.0125E-2</v>
      </c>
      <c r="AH92" s="21">
        <f t="shared" si="41"/>
        <v>405000</v>
      </c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>
        <f>+'[8]Acuerdo PLAN INVERSIÓN 2021'!$AA$5290</f>
        <v>405000</v>
      </c>
      <c r="AZ92" s="21"/>
      <c r="BA92" s="21"/>
      <c r="BB92" s="21"/>
      <c r="BC92" s="21"/>
      <c r="BD92" s="21"/>
      <c r="BE92" s="21"/>
      <c r="BF92" s="23">
        <f t="shared" si="59"/>
        <v>0.98987499999999995</v>
      </c>
      <c r="BG92" s="21">
        <f t="shared" si="68"/>
        <v>39595000</v>
      </c>
      <c r="BH92" s="21">
        <f t="shared" si="69"/>
        <v>0</v>
      </c>
      <c r="BI92" s="21">
        <f t="shared" si="69"/>
        <v>0</v>
      </c>
      <c r="BJ92" s="21">
        <f t="shared" si="69"/>
        <v>0</v>
      </c>
      <c r="BK92" s="21">
        <f t="shared" si="69"/>
        <v>0</v>
      </c>
      <c r="BL92" s="21">
        <f t="shared" si="69"/>
        <v>0</v>
      </c>
      <c r="BM92" s="21">
        <f t="shared" si="69"/>
        <v>0</v>
      </c>
      <c r="BN92" s="21">
        <f t="shared" si="69"/>
        <v>0</v>
      </c>
      <c r="BO92" s="21">
        <f t="shared" si="69"/>
        <v>0</v>
      </c>
      <c r="BP92" s="21">
        <f t="shared" si="69"/>
        <v>0</v>
      </c>
      <c r="BQ92" s="21">
        <f t="shared" si="69"/>
        <v>0</v>
      </c>
      <c r="BR92" s="21">
        <f t="shared" si="69"/>
        <v>0</v>
      </c>
      <c r="BS92" s="21">
        <f t="shared" si="69"/>
        <v>0</v>
      </c>
      <c r="BT92" s="21">
        <f t="shared" si="69"/>
        <v>0</v>
      </c>
      <c r="BU92" s="21">
        <f t="shared" si="69"/>
        <v>0</v>
      </c>
      <c r="BV92" s="21">
        <f t="shared" si="69"/>
        <v>0</v>
      </c>
      <c r="BW92" s="21">
        <f t="shared" si="69"/>
        <v>0</v>
      </c>
      <c r="BX92" s="21">
        <f t="shared" si="70"/>
        <v>9595000</v>
      </c>
      <c r="BY92" s="21">
        <f t="shared" si="70"/>
        <v>30000000</v>
      </c>
      <c r="BZ92" s="21">
        <f t="shared" si="70"/>
        <v>0</v>
      </c>
      <c r="CA92" s="21">
        <f t="shared" si="70"/>
        <v>0</v>
      </c>
      <c r="CB92" s="21">
        <f t="shared" si="70"/>
        <v>0</v>
      </c>
      <c r="CC92" s="21">
        <f t="shared" si="70"/>
        <v>0</v>
      </c>
      <c r="CD92" s="21">
        <f t="shared" si="70"/>
        <v>0</v>
      </c>
      <c r="CE92" s="23">
        <f t="shared" si="56"/>
        <v>1.0125E-2</v>
      </c>
      <c r="CF92" s="21">
        <f t="shared" si="74"/>
        <v>405000</v>
      </c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>
        <f>+'[8]Acuerdo PLAN INVERSIÓN 2021'!$AA$5290</f>
        <v>405000</v>
      </c>
      <c r="CX92" s="21"/>
      <c r="CY92" s="21"/>
      <c r="CZ92" s="21"/>
      <c r="DA92" s="21"/>
      <c r="DB92" s="21"/>
      <c r="DC92" s="21"/>
      <c r="DD92" s="23">
        <f t="shared" si="57"/>
        <v>0.98987499999999995</v>
      </c>
      <c r="DE92" s="21">
        <f t="shared" si="46"/>
        <v>39595000</v>
      </c>
      <c r="DF92" s="21">
        <f t="shared" si="71"/>
        <v>0</v>
      </c>
      <c r="DG92" s="21">
        <f t="shared" si="71"/>
        <v>0</v>
      </c>
      <c r="DH92" s="21">
        <f t="shared" si="71"/>
        <v>0</v>
      </c>
      <c r="DI92" s="21">
        <f t="shared" si="71"/>
        <v>0</v>
      </c>
      <c r="DJ92" s="21">
        <f t="shared" si="71"/>
        <v>0</v>
      </c>
      <c r="DK92" s="21">
        <f t="shared" si="71"/>
        <v>0</v>
      </c>
      <c r="DL92" s="21">
        <f t="shared" si="71"/>
        <v>0</v>
      </c>
      <c r="DM92" s="21">
        <f t="shared" si="71"/>
        <v>0</v>
      </c>
      <c r="DN92" s="21">
        <f t="shared" si="71"/>
        <v>0</v>
      </c>
      <c r="DO92" s="21">
        <f t="shared" si="71"/>
        <v>0</v>
      </c>
      <c r="DP92" s="21">
        <f t="shared" si="71"/>
        <v>0</v>
      </c>
      <c r="DQ92" s="21">
        <f t="shared" si="71"/>
        <v>0</v>
      </c>
      <c r="DR92" s="21">
        <f t="shared" si="71"/>
        <v>0</v>
      </c>
      <c r="DS92" s="21">
        <f t="shared" si="71"/>
        <v>0</v>
      </c>
      <c r="DT92" s="21">
        <f t="shared" si="71"/>
        <v>0</v>
      </c>
      <c r="DU92" s="21">
        <f t="shared" si="71"/>
        <v>0</v>
      </c>
      <c r="DV92" s="21">
        <f t="shared" si="72"/>
        <v>9595000</v>
      </c>
      <c r="DW92" s="21">
        <f t="shared" si="72"/>
        <v>30000000</v>
      </c>
      <c r="DX92" s="21">
        <f t="shared" si="72"/>
        <v>0</v>
      </c>
      <c r="DY92" s="21">
        <f t="shared" si="72"/>
        <v>0</v>
      </c>
      <c r="DZ92" s="21">
        <f t="shared" si="72"/>
        <v>0</v>
      </c>
      <c r="EA92" s="21">
        <f t="shared" si="72"/>
        <v>0</v>
      </c>
      <c r="EB92" s="21">
        <f t="shared" si="72"/>
        <v>0</v>
      </c>
      <c r="ED92" s="27">
        <f t="shared" si="58"/>
        <v>40000000</v>
      </c>
      <c r="EE92" s="27">
        <f t="shared" si="60"/>
        <v>40000000</v>
      </c>
      <c r="EF92" s="27">
        <f t="shared" si="61"/>
        <v>40000000</v>
      </c>
    </row>
    <row r="93" spans="1:136" ht="22.2" customHeight="1" x14ac:dyDescent="0.3">
      <c r="A93" s="180"/>
      <c r="B93" s="169" t="s">
        <v>279</v>
      </c>
      <c r="C93" s="44" t="s">
        <v>280</v>
      </c>
      <c r="D93" s="18" t="s">
        <v>281</v>
      </c>
      <c r="E93" s="30">
        <v>301</v>
      </c>
      <c r="F93" s="31" t="s">
        <v>243</v>
      </c>
      <c r="G93" s="21">
        <f t="shared" si="67"/>
        <v>96900000</v>
      </c>
      <c r="H93" s="22">
        <v>65000000</v>
      </c>
      <c r="I93" s="22">
        <f t="shared" si="73"/>
        <v>-31900000</v>
      </c>
      <c r="J93" s="21">
        <f>31500000+15400000</f>
        <v>46900000</v>
      </c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>
        <v>40000000</v>
      </c>
      <c r="AA93" s="21">
        <f>10000000</f>
        <v>10000000</v>
      </c>
      <c r="AB93" s="21"/>
      <c r="AC93" s="21"/>
      <c r="AD93" s="21"/>
      <c r="AE93" s="21"/>
      <c r="AF93" s="21"/>
      <c r="AG93" s="23">
        <f t="shared" si="55"/>
        <v>0.80546954592363262</v>
      </c>
      <c r="AH93" s="21">
        <f t="shared" si="41"/>
        <v>78049999</v>
      </c>
      <c r="AI93" s="21">
        <f>+'[1]Acuerdo PLAN INVERSIÓN 2021'!$L$6460</f>
        <v>32549999</v>
      </c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>
        <f>+'[1]Acuerdo PLAN INVERSIÓN 2021'!$AA$6460</f>
        <v>35500000</v>
      </c>
      <c r="AZ93" s="21">
        <f>+'[4]Acuerdo PLAN INVERSIÓN 2021'!$X$2629</f>
        <v>10000000</v>
      </c>
      <c r="BA93" s="21"/>
      <c r="BB93" s="21"/>
      <c r="BC93" s="21"/>
      <c r="BD93" s="21"/>
      <c r="BE93" s="21"/>
      <c r="BF93" s="23">
        <f t="shared" si="59"/>
        <v>0.19453045407636738</v>
      </c>
      <c r="BG93" s="21">
        <f t="shared" si="68"/>
        <v>18850001</v>
      </c>
      <c r="BH93" s="21">
        <f t="shared" si="69"/>
        <v>14350001</v>
      </c>
      <c r="BI93" s="21">
        <f t="shared" si="69"/>
        <v>0</v>
      </c>
      <c r="BJ93" s="21">
        <f t="shared" si="69"/>
        <v>0</v>
      </c>
      <c r="BK93" s="21">
        <f t="shared" si="69"/>
        <v>0</v>
      </c>
      <c r="BL93" s="21">
        <f t="shared" si="69"/>
        <v>0</v>
      </c>
      <c r="BM93" s="21">
        <f t="shared" si="69"/>
        <v>0</v>
      </c>
      <c r="BN93" s="21">
        <f t="shared" si="69"/>
        <v>0</v>
      </c>
      <c r="BO93" s="21">
        <f t="shared" si="69"/>
        <v>0</v>
      </c>
      <c r="BP93" s="21">
        <f t="shared" si="69"/>
        <v>0</v>
      </c>
      <c r="BQ93" s="21">
        <f t="shared" si="69"/>
        <v>0</v>
      </c>
      <c r="BR93" s="21">
        <f t="shared" si="69"/>
        <v>0</v>
      </c>
      <c r="BS93" s="21">
        <f t="shared" si="69"/>
        <v>0</v>
      </c>
      <c r="BT93" s="21">
        <f t="shared" si="69"/>
        <v>0</v>
      </c>
      <c r="BU93" s="21">
        <f t="shared" si="69"/>
        <v>0</v>
      </c>
      <c r="BV93" s="21">
        <f t="shared" si="69"/>
        <v>0</v>
      </c>
      <c r="BW93" s="21">
        <f>+Y93-AX93</f>
        <v>0</v>
      </c>
      <c r="BX93" s="21">
        <f t="shared" si="70"/>
        <v>4500000</v>
      </c>
      <c r="BY93" s="21">
        <f t="shared" si="70"/>
        <v>0</v>
      </c>
      <c r="BZ93" s="21">
        <f t="shared" si="70"/>
        <v>0</v>
      </c>
      <c r="CA93" s="21">
        <f t="shared" si="70"/>
        <v>0</v>
      </c>
      <c r="CB93" s="21">
        <f t="shared" si="70"/>
        <v>0</v>
      </c>
      <c r="CC93" s="21">
        <f t="shared" si="70"/>
        <v>0</v>
      </c>
      <c r="CD93" s="21">
        <f t="shared" si="70"/>
        <v>0</v>
      </c>
      <c r="CE93" s="23">
        <f t="shared" si="56"/>
        <v>0.80546954592363262</v>
      </c>
      <c r="CF93" s="21">
        <f t="shared" si="74"/>
        <v>78049999</v>
      </c>
      <c r="CG93" s="21">
        <f>+'[1]Acuerdo PLAN INVERSIÓN 2021'!$L$6460</f>
        <v>32549999</v>
      </c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>
        <f>+'[1]Acuerdo PLAN INVERSIÓN 2021'!$AA$6460</f>
        <v>35500000</v>
      </c>
      <c r="CX93" s="21">
        <f>+'[4]Acuerdo PLAN INVERSIÓN 2021'!$X$2629</f>
        <v>10000000</v>
      </c>
      <c r="CY93" s="21"/>
      <c r="CZ93" s="21"/>
      <c r="DA93" s="21"/>
      <c r="DB93" s="21"/>
      <c r="DC93" s="21"/>
      <c r="DD93" s="23">
        <f t="shared" si="57"/>
        <v>0.19453045407636738</v>
      </c>
      <c r="DE93" s="21">
        <f t="shared" si="46"/>
        <v>18850001</v>
      </c>
      <c r="DF93" s="21">
        <f t="shared" si="71"/>
        <v>14350001</v>
      </c>
      <c r="DG93" s="21">
        <f t="shared" si="71"/>
        <v>0</v>
      </c>
      <c r="DH93" s="21">
        <f t="shared" si="71"/>
        <v>0</v>
      </c>
      <c r="DI93" s="21">
        <f t="shared" si="71"/>
        <v>0</v>
      </c>
      <c r="DJ93" s="21">
        <f t="shared" si="71"/>
        <v>0</v>
      </c>
      <c r="DK93" s="21">
        <f t="shared" si="71"/>
        <v>0</v>
      </c>
      <c r="DL93" s="21">
        <f t="shared" si="71"/>
        <v>0</v>
      </c>
      <c r="DM93" s="21">
        <f t="shared" si="71"/>
        <v>0</v>
      </c>
      <c r="DN93" s="21">
        <f t="shared" si="71"/>
        <v>0</v>
      </c>
      <c r="DO93" s="21">
        <f t="shared" si="71"/>
        <v>0</v>
      </c>
      <c r="DP93" s="21">
        <f t="shared" si="71"/>
        <v>0</v>
      </c>
      <c r="DQ93" s="21">
        <f t="shared" si="71"/>
        <v>0</v>
      </c>
      <c r="DR93" s="21">
        <f t="shared" si="71"/>
        <v>0</v>
      </c>
      <c r="DS93" s="21">
        <f t="shared" si="71"/>
        <v>0</v>
      </c>
      <c r="DT93" s="21">
        <f t="shared" si="71"/>
        <v>0</v>
      </c>
      <c r="DU93" s="21">
        <f>+Y93-CV93</f>
        <v>0</v>
      </c>
      <c r="DV93" s="21">
        <f t="shared" si="72"/>
        <v>4500000</v>
      </c>
      <c r="DW93" s="21">
        <f t="shared" si="72"/>
        <v>0</v>
      </c>
      <c r="DX93" s="21">
        <f t="shared" si="72"/>
        <v>0</v>
      </c>
      <c r="DY93" s="21">
        <f t="shared" si="72"/>
        <v>0</v>
      </c>
      <c r="DZ93" s="21">
        <f t="shared" si="72"/>
        <v>0</v>
      </c>
      <c r="EA93" s="21">
        <f t="shared" si="72"/>
        <v>0</v>
      </c>
      <c r="EB93" s="21">
        <f t="shared" si="72"/>
        <v>0</v>
      </c>
      <c r="ED93" s="27">
        <f t="shared" si="58"/>
        <v>96900000</v>
      </c>
      <c r="EE93" s="27">
        <f t="shared" si="60"/>
        <v>96900000</v>
      </c>
      <c r="EF93" s="27">
        <f t="shared" si="61"/>
        <v>96900000</v>
      </c>
    </row>
    <row r="94" spans="1:136" ht="22.5" customHeight="1" x14ac:dyDescent="0.3">
      <c r="A94" s="180"/>
      <c r="B94" s="183"/>
      <c r="C94" s="44" t="s">
        <v>282</v>
      </c>
      <c r="D94" s="59" t="s">
        <v>283</v>
      </c>
      <c r="E94" s="19">
        <v>301</v>
      </c>
      <c r="F94" s="20" t="s">
        <v>243</v>
      </c>
      <c r="G94" s="21">
        <f t="shared" si="67"/>
        <v>1171418102</v>
      </c>
      <c r="H94" s="22">
        <v>1662500000</v>
      </c>
      <c r="I94" s="22">
        <f t="shared" si="73"/>
        <v>491081898</v>
      </c>
      <c r="J94" s="60">
        <f>804086833-204300000</f>
        <v>599786833</v>
      </c>
      <c r="K94" s="60"/>
      <c r="L94" s="60"/>
      <c r="M94" s="21"/>
      <c r="N94" s="60"/>
      <c r="O94" s="60"/>
      <c r="P94" s="60"/>
      <c r="Q94" s="60"/>
      <c r="R94" s="60"/>
      <c r="S94" s="60"/>
      <c r="T94" s="60"/>
      <c r="U94" s="60"/>
      <c r="V94" s="60"/>
      <c r="W94" s="60"/>
      <c r="X94" s="60"/>
      <c r="Y94" s="60"/>
      <c r="Z94" s="60"/>
      <c r="AA94" s="60"/>
      <c r="AB94" s="60"/>
      <c r="AC94" s="47">
        <f>695913167-124281898</f>
        <v>571631269</v>
      </c>
      <c r="AD94" s="60"/>
      <c r="AE94" s="60"/>
      <c r="AF94" s="60"/>
      <c r="AG94" s="23">
        <f t="shared" si="55"/>
        <v>0</v>
      </c>
      <c r="AH94" s="21">
        <f t="shared" si="41"/>
        <v>0</v>
      </c>
      <c r="AI94" s="60"/>
      <c r="AJ94" s="60"/>
      <c r="AK94" s="60"/>
      <c r="AL94" s="60"/>
      <c r="AM94" s="60"/>
      <c r="AN94" s="60"/>
      <c r="AO94" s="60"/>
      <c r="AP94" s="60"/>
      <c r="AQ94" s="60"/>
      <c r="AR94" s="60"/>
      <c r="AS94" s="60"/>
      <c r="AT94" s="60"/>
      <c r="AU94" s="60"/>
      <c r="AV94" s="60"/>
      <c r="AW94" s="60"/>
      <c r="AX94" s="60"/>
      <c r="AY94" s="60"/>
      <c r="AZ94" s="60"/>
      <c r="BA94" s="60"/>
      <c r="BB94" s="60"/>
      <c r="BC94" s="60"/>
      <c r="BD94" s="60"/>
      <c r="BE94" s="60"/>
      <c r="BF94" s="23">
        <f t="shared" si="59"/>
        <v>1</v>
      </c>
      <c r="BG94" s="21">
        <f t="shared" si="68"/>
        <v>1171418102</v>
      </c>
      <c r="BH94" s="21">
        <f t="shared" ref="BH94:BV96" si="75">+J94-AI94</f>
        <v>599786833</v>
      </c>
      <c r="BI94" s="21">
        <f t="shared" si="75"/>
        <v>0</v>
      </c>
      <c r="BJ94" s="21">
        <f t="shared" si="75"/>
        <v>0</v>
      </c>
      <c r="BK94" s="21">
        <f t="shared" si="75"/>
        <v>0</v>
      </c>
      <c r="BL94" s="21">
        <f t="shared" si="75"/>
        <v>0</v>
      </c>
      <c r="BM94" s="21">
        <f t="shared" si="75"/>
        <v>0</v>
      </c>
      <c r="BN94" s="21">
        <f t="shared" si="75"/>
        <v>0</v>
      </c>
      <c r="BO94" s="21">
        <f t="shared" si="75"/>
        <v>0</v>
      </c>
      <c r="BP94" s="21">
        <f t="shared" si="75"/>
        <v>0</v>
      </c>
      <c r="BQ94" s="21">
        <f t="shared" si="75"/>
        <v>0</v>
      </c>
      <c r="BR94" s="21">
        <f t="shared" si="75"/>
        <v>0</v>
      </c>
      <c r="BS94" s="21">
        <f t="shared" si="75"/>
        <v>0</v>
      </c>
      <c r="BT94" s="21">
        <f t="shared" si="75"/>
        <v>0</v>
      </c>
      <c r="BU94" s="21">
        <f t="shared" si="75"/>
        <v>0</v>
      </c>
      <c r="BV94" s="21">
        <f t="shared" si="75"/>
        <v>0</v>
      </c>
      <c r="BW94" s="21">
        <f>+Y94-AX94</f>
        <v>0</v>
      </c>
      <c r="BX94" s="21">
        <f t="shared" si="70"/>
        <v>0</v>
      </c>
      <c r="BY94" s="21">
        <f t="shared" si="70"/>
        <v>0</v>
      </c>
      <c r="BZ94" s="21">
        <f t="shared" si="70"/>
        <v>0</v>
      </c>
      <c r="CA94" s="21">
        <f t="shared" si="70"/>
        <v>571631269</v>
      </c>
      <c r="CB94" s="21">
        <f t="shared" si="70"/>
        <v>0</v>
      </c>
      <c r="CC94" s="21">
        <f t="shared" si="70"/>
        <v>0</v>
      </c>
      <c r="CD94" s="21">
        <f t="shared" si="70"/>
        <v>0</v>
      </c>
      <c r="CE94" s="23">
        <f t="shared" si="56"/>
        <v>0</v>
      </c>
      <c r="CF94" s="21">
        <f t="shared" si="74"/>
        <v>0</v>
      </c>
      <c r="CG94" s="60"/>
      <c r="CH94" s="60"/>
      <c r="CI94" s="60"/>
      <c r="CJ94" s="60"/>
      <c r="CK94" s="60"/>
      <c r="CL94" s="60"/>
      <c r="CM94" s="60"/>
      <c r="CN94" s="60"/>
      <c r="CO94" s="60"/>
      <c r="CP94" s="60"/>
      <c r="CQ94" s="60"/>
      <c r="CR94" s="60"/>
      <c r="CS94" s="60"/>
      <c r="CT94" s="60"/>
      <c r="CU94" s="60"/>
      <c r="CV94" s="60"/>
      <c r="CW94" s="60"/>
      <c r="CX94" s="60"/>
      <c r="CY94" s="60"/>
      <c r="CZ94" s="60"/>
      <c r="DA94" s="60"/>
      <c r="DB94" s="60"/>
      <c r="DC94" s="60"/>
      <c r="DD94" s="23">
        <f t="shared" si="57"/>
        <v>1</v>
      </c>
      <c r="DE94" s="21">
        <f t="shared" si="46"/>
        <v>1171418102</v>
      </c>
      <c r="DF94" s="21">
        <f t="shared" ref="DF94:DT96" si="76">+J94-CG94</f>
        <v>599786833</v>
      </c>
      <c r="DG94" s="21">
        <f t="shared" si="76"/>
        <v>0</v>
      </c>
      <c r="DH94" s="21">
        <f t="shared" si="76"/>
        <v>0</v>
      </c>
      <c r="DI94" s="21">
        <f t="shared" si="76"/>
        <v>0</v>
      </c>
      <c r="DJ94" s="21">
        <f t="shared" si="76"/>
        <v>0</v>
      </c>
      <c r="DK94" s="21">
        <f t="shared" si="76"/>
        <v>0</v>
      </c>
      <c r="DL94" s="21">
        <f t="shared" si="76"/>
        <v>0</v>
      </c>
      <c r="DM94" s="21">
        <f t="shared" si="76"/>
        <v>0</v>
      </c>
      <c r="DN94" s="21">
        <f t="shared" si="76"/>
        <v>0</v>
      </c>
      <c r="DO94" s="21">
        <f t="shared" si="76"/>
        <v>0</v>
      </c>
      <c r="DP94" s="21">
        <f t="shared" si="76"/>
        <v>0</v>
      </c>
      <c r="DQ94" s="21">
        <f t="shared" si="76"/>
        <v>0</v>
      </c>
      <c r="DR94" s="21">
        <f t="shared" si="76"/>
        <v>0</v>
      </c>
      <c r="DS94" s="21">
        <f t="shared" si="76"/>
        <v>0</v>
      </c>
      <c r="DT94" s="21">
        <f t="shared" si="76"/>
        <v>0</v>
      </c>
      <c r="DU94" s="21">
        <f>+Y94-CV94</f>
        <v>0</v>
      </c>
      <c r="DV94" s="21">
        <f t="shared" si="72"/>
        <v>0</v>
      </c>
      <c r="DW94" s="21">
        <f t="shared" si="72"/>
        <v>0</v>
      </c>
      <c r="DX94" s="21">
        <f t="shared" si="72"/>
        <v>0</v>
      </c>
      <c r="DY94" s="21">
        <f t="shared" si="72"/>
        <v>571631269</v>
      </c>
      <c r="DZ94" s="21">
        <f t="shared" si="72"/>
        <v>0</v>
      </c>
      <c r="EA94" s="21">
        <f t="shared" si="72"/>
        <v>0</v>
      </c>
      <c r="EB94" s="21">
        <f t="shared" si="72"/>
        <v>0</v>
      </c>
      <c r="ED94" s="27">
        <f t="shared" si="58"/>
        <v>1171418102</v>
      </c>
      <c r="EE94" s="27">
        <f t="shared" si="60"/>
        <v>1171418102</v>
      </c>
      <c r="EF94" s="27">
        <f t="shared" si="61"/>
        <v>1171418102</v>
      </c>
    </row>
    <row r="95" spans="1:136" ht="22.5" customHeight="1" x14ac:dyDescent="0.3">
      <c r="A95" s="180"/>
      <c r="B95" s="183"/>
      <c r="C95" s="44" t="s">
        <v>284</v>
      </c>
      <c r="D95" s="59" t="s">
        <v>285</v>
      </c>
      <c r="E95" s="19">
        <v>301</v>
      </c>
      <c r="F95" s="20" t="s">
        <v>243</v>
      </c>
      <c r="G95" s="21">
        <f t="shared" si="67"/>
        <v>1057720570</v>
      </c>
      <c r="H95" s="22">
        <v>780000000</v>
      </c>
      <c r="I95" s="22">
        <f t="shared" si="73"/>
        <v>-277720570</v>
      </c>
      <c r="J95" s="21">
        <f>106000000+90000000+46200000</f>
        <v>242200000</v>
      </c>
      <c r="K95" s="60">
        <v>248478958</v>
      </c>
      <c r="L95" s="60"/>
      <c r="M95" s="21">
        <f>36383010+225000000+144137560</f>
        <v>405520570</v>
      </c>
      <c r="N95" s="60"/>
      <c r="O95" s="60"/>
      <c r="P95" s="60"/>
      <c r="Q95" s="60"/>
      <c r="R95" s="60"/>
      <c r="S95" s="60"/>
      <c r="T95" s="60"/>
      <c r="U95" s="60"/>
      <c r="V95" s="60"/>
      <c r="W95" s="60"/>
      <c r="X95" s="60"/>
      <c r="Y95" s="60"/>
      <c r="Z95" s="60">
        <v>151521042</v>
      </c>
      <c r="AA95" s="60"/>
      <c r="AB95" s="60"/>
      <c r="AC95" s="21"/>
      <c r="AD95" s="60"/>
      <c r="AE95" s="60"/>
      <c r="AF95" s="60">
        <f>10000000</f>
        <v>10000000</v>
      </c>
      <c r="AG95" s="23">
        <f t="shared" si="55"/>
        <v>0.66475653584008487</v>
      </c>
      <c r="AH95" s="21">
        <f t="shared" si="41"/>
        <v>703126662</v>
      </c>
      <c r="AI95" s="60">
        <f>+'[1]Acuerdo PLAN INVERSIÓN 2021'!$L$6496</f>
        <v>139584667</v>
      </c>
      <c r="AJ95" s="60">
        <f>+'[1]Acuerdo PLAN INVERSIÓN 2021'!$J$6496</f>
        <v>240679663</v>
      </c>
      <c r="AK95" s="60"/>
      <c r="AL95" s="60">
        <f>+'[1]Acuerdo PLAN INVERSIÓN 2021'!$M$6496</f>
        <v>165734932</v>
      </c>
      <c r="AM95" s="60"/>
      <c r="AN95" s="60"/>
      <c r="AO95" s="60"/>
      <c r="AP95" s="60"/>
      <c r="AQ95" s="60"/>
      <c r="AR95" s="60"/>
      <c r="AS95" s="60"/>
      <c r="AT95" s="60"/>
      <c r="AU95" s="60"/>
      <c r="AV95" s="60"/>
      <c r="AW95" s="60"/>
      <c r="AX95" s="60"/>
      <c r="AY95" s="60">
        <f>+'[1]Acuerdo PLAN INVERSIÓN 2021'!$AA$6496</f>
        <v>147264000</v>
      </c>
      <c r="AZ95" s="60"/>
      <c r="BA95" s="60"/>
      <c r="BB95" s="60"/>
      <c r="BC95" s="60"/>
      <c r="BD95" s="60"/>
      <c r="BE95" s="60">
        <f>+'[1]Acuerdo PLAN INVERSIÓN 2021'!$AF$6496</f>
        <v>9863400</v>
      </c>
      <c r="BF95" s="23">
        <f t="shared" si="59"/>
        <v>0.33524346415991513</v>
      </c>
      <c r="BG95" s="21">
        <f t="shared" si="68"/>
        <v>354593908</v>
      </c>
      <c r="BH95" s="21">
        <f t="shared" si="75"/>
        <v>102615333</v>
      </c>
      <c r="BI95" s="21">
        <f t="shared" si="75"/>
        <v>7799295</v>
      </c>
      <c r="BJ95" s="21">
        <f t="shared" si="75"/>
        <v>0</v>
      </c>
      <c r="BK95" s="21">
        <f t="shared" si="75"/>
        <v>239785638</v>
      </c>
      <c r="BL95" s="21">
        <f t="shared" si="75"/>
        <v>0</v>
      </c>
      <c r="BM95" s="21">
        <f t="shared" si="75"/>
        <v>0</v>
      </c>
      <c r="BN95" s="21">
        <f t="shared" si="75"/>
        <v>0</v>
      </c>
      <c r="BO95" s="21">
        <f t="shared" si="75"/>
        <v>0</v>
      </c>
      <c r="BP95" s="21">
        <f t="shared" si="75"/>
        <v>0</v>
      </c>
      <c r="BQ95" s="21">
        <f t="shared" si="75"/>
        <v>0</v>
      </c>
      <c r="BR95" s="21">
        <f t="shared" si="75"/>
        <v>0</v>
      </c>
      <c r="BS95" s="21">
        <f t="shared" si="75"/>
        <v>0</v>
      </c>
      <c r="BT95" s="21">
        <f t="shared" si="75"/>
        <v>0</v>
      </c>
      <c r="BU95" s="21">
        <f t="shared" si="75"/>
        <v>0</v>
      </c>
      <c r="BV95" s="21">
        <f t="shared" si="75"/>
        <v>0</v>
      </c>
      <c r="BW95" s="21">
        <f>+Y95-AX95</f>
        <v>0</v>
      </c>
      <c r="BX95" s="21">
        <f t="shared" si="70"/>
        <v>4257042</v>
      </c>
      <c r="BY95" s="21">
        <f t="shared" si="70"/>
        <v>0</v>
      </c>
      <c r="BZ95" s="21">
        <f t="shared" si="70"/>
        <v>0</v>
      </c>
      <c r="CA95" s="21">
        <f t="shared" si="70"/>
        <v>0</v>
      </c>
      <c r="CB95" s="21">
        <f t="shared" si="70"/>
        <v>0</v>
      </c>
      <c r="CC95" s="21">
        <f t="shared" si="70"/>
        <v>0</v>
      </c>
      <c r="CD95" s="21">
        <f t="shared" si="70"/>
        <v>136600</v>
      </c>
      <c r="CE95" s="23">
        <f t="shared" si="56"/>
        <v>0.66475653584008487</v>
      </c>
      <c r="CF95" s="21">
        <f t="shared" si="74"/>
        <v>703126662</v>
      </c>
      <c r="CG95" s="60">
        <f>+'[1]Acuerdo PLAN INVERSIÓN 2021'!$L$6496</f>
        <v>139584667</v>
      </c>
      <c r="CH95" s="60">
        <f>+'[1]Acuerdo PLAN INVERSIÓN 2021'!$J$6496</f>
        <v>240679663</v>
      </c>
      <c r="CI95" s="60"/>
      <c r="CJ95" s="60">
        <f>+'[1]Acuerdo PLAN INVERSIÓN 2021'!$M$6496</f>
        <v>165734932</v>
      </c>
      <c r="CK95" s="60"/>
      <c r="CL95" s="60"/>
      <c r="CM95" s="60"/>
      <c r="CN95" s="60"/>
      <c r="CO95" s="60"/>
      <c r="CP95" s="60"/>
      <c r="CQ95" s="60"/>
      <c r="CR95" s="60"/>
      <c r="CS95" s="60"/>
      <c r="CT95" s="60"/>
      <c r="CU95" s="60"/>
      <c r="CV95" s="60"/>
      <c r="CW95" s="60">
        <f>+'[1]Acuerdo PLAN INVERSIÓN 2021'!$AA$6496</f>
        <v>147264000</v>
      </c>
      <c r="CX95" s="60"/>
      <c r="CY95" s="60"/>
      <c r="CZ95" s="60"/>
      <c r="DA95" s="60"/>
      <c r="DB95" s="60"/>
      <c r="DC95" s="60">
        <f>+'[1]Acuerdo PLAN INVERSIÓN 2021'!$AF$6496</f>
        <v>9863400</v>
      </c>
      <c r="DD95" s="23">
        <f t="shared" si="57"/>
        <v>0.33524346415991513</v>
      </c>
      <c r="DE95" s="21">
        <f t="shared" si="46"/>
        <v>354593908</v>
      </c>
      <c r="DF95" s="21">
        <f t="shared" si="76"/>
        <v>102615333</v>
      </c>
      <c r="DG95" s="21">
        <f t="shared" si="76"/>
        <v>7799295</v>
      </c>
      <c r="DH95" s="21">
        <f t="shared" si="76"/>
        <v>0</v>
      </c>
      <c r="DI95" s="21">
        <f t="shared" si="76"/>
        <v>239785638</v>
      </c>
      <c r="DJ95" s="21">
        <f t="shared" si="76"/>
        <v>0</v>
      </c>
      <c r="DK95" s="21">
        <f t="shared" si="76"/>
        <v>0</v>
      </c>
      <c r="DL95" s="21">
        <f t="shared" si="76"/>
        <v>0</v>
      </c>
      <c r="DM95" s="21">
        <f t="shared" si="76"/>
        <v>0</v>
      </c>
      <c r="DN95" s="21">
        <f t="shared" si="76"/>
        <v>0</v>
      </c>
      <c r="DO95" s="21">
        <f t="shared" si="76"/>
        <v>0</v>
      </c>
      <c r="DP95" s="21">
        <f t="shared" si="76"/>
        <v>0</v>
      </c>
      <c r="DQ95" s="21">
        <f t="shared" si="76"/>
        <v>0</v>
      </c>
      <c r="DR95" s="21">
        <f t="shared" si="76"/>
        <v>0</v>
      </c>
      <c r="DS95" s="21">
        <f t="shared" si="76"/>
        <v>0</v>
      </c>
      <c r="DT95" s="21">
        <f t="shared" si="76"/>
        <v>0</v>
      </c>
      <c r="DU95" s="21">
        <f>+Y95-CV95</f>
        <v>0</v>
      </c>
      <c r="DV95" s="21">
        <f t="shared" si="72"/>
        <v>4257042</v>
      </c>
      <c r="DW95" s="21">
        <f t="shared" si="72"/>
        <v>0</v>
      </c>
      <c r="DX95" s="21">
        <f t="shared" si="72"/>
        <v>0</v>
      </c>
      <c r="DY95" s="21">
        <f t="shared" si="72"/>
        <v>0</v>
      </c>
      <c r="DZ95" s="21">
        <f t="shared" si="72"/>
        <v>0</v>
      </c>
      <c r="EA95" s="21">
        <f t="shared" si="72"/>
        <v>0</v>
      </c>
      <c r="EB95" s="21">
        <f t="shared" si="72"/>
        <v>136600</v>
      </c>
      <c r="ED95" s="27">
        <f t="shared" si="58"/>
        <v>1057720570</v>
      </c>
      <c r="EE95" s="27">
        <f t="shared" si="60"/>
        <v>1057720570</v>
      </c>
      <c r="EF95" s="27">
        <f t="shared" si="61"/>
        <v>1057720570</v>
      </c>
    </row>
    <row r="96" spans="1:136" ht="25.5" customHeight="1" x14ac:dyDescent="0.3">
      <c r="A96" s="181"/>
      <c r="B96" s="170"/>
      <c r="C96" s="44" t="s">
        <v>286</v>
      </c>
      <c r="D96" s="59" t="s">
        <v>287</v>
      </c>
      <c r="E96" s="19">
        <v>301</v>
      </c>
      <c r="F96" s="20" t="s">
        <v>243</v>
      </c>
      <c r="G96" s="21">
        <f t="shared" si="67"/>
        <v>292233877</v>
      </c>
      <c r="H96" s="22">
        <v>200000000</v>
      </c>
      <c r="I96" s="22">
        <f t="shared" si="73"/>
        <v>-92233877</v>
      </c>
      <c r="J96" s="60">
        <f>92642826+72233333</f>
        <v>164876159</v>
      </c>
      <c r="K96" s="60"/>
      <c r="L96" s="60"/>
      <c r="M96" s="60"/>
      <c r="N96" s="60"/>
      <c r="O96" s="60"/>
      <c r="P96" s="60"/>
      <c r="Q96" s="60"/>
      <c r="R96" s="60"/>
      <c r="S96" s="60"/>
      <c r="T96" s="60"/>
      <c r="U96" s="60"/>
      <c r="V96" s="60"/>
      <c r="W96" s="60"/>
      <c r="X96" s="60"/>
      <c r="Y96" s="60"/>
      <c r="Z96" s="60">
        <v>120000000</v>
      </c>
      <c r="AA96" s="60">
        <v>7357718</v>
      </c>
      <c r="AB96" s="60"/>
      <c r="AC96" s="21"/>
      <c r="AD96" s="60"/>
      <c r="AE96" s="60"/>
      <c r="AF96" s="60"/>
      <c r="AG96" s="23">
        <f t="shared" si="55"/>
        <v>0.76828874976736528</v>
      </c>
      <c r="AH96" s="21">
        <f t="shared" si="41"/>
        <v>224520000</v>
      </c>
      <c r="AI96" s="60">
        <f>+'[1]Acuerdo PLAN INVERSIÓN 2021'!$L$6789</f>
        <v>105896667</v>
      </c>
      <c r="AJ96" s="60"/>
      <c r="AK96" s="60"/>
      <c r="AL96" s="60"/>
      <c r="AM96" s="60"/>
      <c r="AN96" s="60"/>
      <c r="AO96" s="60"/>
      <c r="AP96" s="60"/>
      <c r="AQ96" s="60"/>
      <c r="AR96" s="60"/>
      <c r="AS96" s="60"/>
      <c r="AT96" s="60"/>
      <c r="AU96" s="60"/>
      <c r="AV96" s="60"/>
      <c r="AW96" s="60"/>
      <c r="AX96" s="60"/>
      <c r="AY96" s="60">
        <f>+'[1]Acuerdo PLAN INVERSIÓN 2021'!$AA$6789</f>
        <v>111265615</v>
      </c>
      <c r="AZ96" s="60">
        <f>+'[4]Acuerdo PLAN INVERSIÓN 2021'!$X$2726</f>
        <v>7357718</v>
      </c>
      <c r="BA96" s="60"/>
      <c r="BB96" s="60"/>
      <c r="BC96" s="60"/>
      <c r="BD96" s="60"/>
      <c r="BE96" s="60"/>
      <c r="BF96" s="23">
        <f t="shared" si="59"/>
        <v>0.23171125023263472</v>
      </c>
      <c r="BG96" s="21">
        <f t="shared" si="68"/>
        <v>67713877</v>
      </c>
      <c r="BH96" s="21">
        <f t="shared" si="75"/>
        <v>58979492</v>
      </c>
      <c r="BI96" s="21">
        <f t="shared" si="75"/>
        <v>0</v>
      </c>
      <c r="BJ96" s="21">
        <f t="shared" si="75"/>
        <v>0</v>
      </c>
      <c r="BK96" s="21">
        <f t="shared" si="75"/>
        <v>0</v>
      </c>
      <c r="BL96" s="21">
        <f t="shared" si="75"/>
        <v>0</v>
      </c>
      <c r="BM96" s="21">
        <f t="shared" si="75"/>
        <v>0</v>
      </c>
      <c r="BN96" s="21">
        <f t="shared" si="75"/>
        <v>0</v>
      </c>
      <c r="BO96" s="21">
        <f t="shared" si="75"/>
        <v>0</v>
      </c>
      <c r="BP96" s="21">
        <f t="shared" si="75"/>
        <v>0</v>
      </c>
      <c r="BQ96" s="21">
        <f t="shared" si="75"/>
        <v>0</v>
      </c>
      <c r="BR96" s="21">
        <f t="shared" si="75"/>
        <v>0</v>
      </c>
      <c r="BS96" s="21">
        <f t="shared" si="75"/>
        <v>0</v>
      </c>
      <c r="BT96" s="21">
        <f t="shared" si="75"/>
        <v>0</v>
      </c>
      <c r="BU96" s="21">
        <f t="shared" si="75"/>
        <v>0</v>
      </c>
      <c r="BV96" s="21">
        <f t="shared" si="75"/>
        <v>0</v>
      </c>
      <c r="BW96" s="21">
        <f>+Y96-AX96</f>
        <v>0</v>
      </c>
      <c r="BX96" s="21">
        <f t="shared" si="70"/>
        <v>8734385</v>
      </c>
      <c r="BY96" s="21">
        <f t="shared" si="70"/>
        <v>0</v>
      </c>
      <c r="BZ96" s="21">
        <f t="shared" si="70"/>
        <v>0</v>
      </c>
      <c r="CA96" s="21">
        <f t="shared" si="70"/>
        <v>0</v>
      </c>
      <c r="CB96" s="21">
        <f t="shared" si="70"/>
        <v>0</v>
      </c>
      <c r="CC96" s="21">
        <f t="shared" si="70"/>
        <v>0</v>
      </c>
      <c r="CD96" s="21">
        <f t="shared" si="70"/>
        <v>0</v>
      </c>
      <c r="CE96" s="23">
        <f t="shared" si="56"/>
        <v>0.76828874976736528</v>
      </c>
      <c r="CF96" s="21">
        <f t="shared" si="74"/>
        <v>224520000</v>
      </c>
      <c r="CG96" s="60">
        <f>+'[1]Acuerdo PLAN INVERSIÓN 2021'!$L$6789</f>
        <v>105896667</v>
      </c>
      <c r="CH96" s="60"/>
      <c r="CI96" s="60"/>
      <c r="CJ96" s="60"/>
      <c r="CK96" s="60"/>
      <c r="CL96" s="60"/>
      <c r="CM96" s="60"/>
      <c r="CN96" s="60"/>
      <c r="CO96" s="60"/>
      <c r="CP96" s="60"/>
      <c r="CQ96" s="60"/>
      <c r="CR96" s="60"/>
      <c r="CS96" s="60"/>
      <c r="CT96" s="60"/>
      <c r="CU96" s="60"/>
      <c r="CV96" s="60"/>
      <c r="CW96" s="60">
        <f>+'[1]Acuerdo PLAN INVERSIÓN 2021'!$AA$6789</f>
        <v>111265615</v>
      </c>
      <c r="CX96" s="60">
        <f>+'[4]Acuerdo PLAN INVERSIÓN 2021'!$X$2726</f>
        <v>7357718</v>
      </c>
      <c r="CY96" s="60"/>
      <c r="CZ96" s="60"/>
      <c r="DA96" s="60"/>
      <c r="DB96" s="60"/>
      <c r="DC96" s="60"/>
      <c r="DD96" s="23">
        <f t="shared" si="57"/>
        <v>0.23171125023263472</v>
      </c>
      <c r="DE96" s="21">
        <f t="shared" si="46"/>
        <v>67713877</v>
      </c>
      <c r="DF96" s="21">
        <f t="shared" si="76"/>
        <v>58979492</v>
      </c>
      <c r="DG96" s="21">
        <f t="shared" si="76"/>
        <v>0</v>
      </c>
      <c r="DH96" s="21">
        <f t="shared" si="76"/>
        <v>0</v>
      </c>
      <c r="DI96" s="21">
        <f t="shared" si="76"/>
        <v>0</v>
      </c>
      <c r="DJ96" s="21">
        <f t="shared" si="76"/>
        <v>0</v>
      </c>
      <c r="DK96" s="21">
        <f t="shared" si="76"/>
        <v>0</v>
      </c>
      <c r="DL96" s="21">
        <f t="shared" si="76"/>
        <v>0</v>
      </c>
      <c r="DM96" s="21">
        <f t="shared" si="76"/>
        <v>0</v>
      </c>
      <c r="DN96" s="21">
        <f t="shared" si="76"/>
        <v>0</v>
      </c>
      <c r="DO96" s="21">
        <f t="shared" si="76"/>
        <v>0</v>
      </c>
      <c r="DP96" s="21">
        <f t="shared" si="76"/>
        <v>0</v>
      </c>
      <c r="DQ96" s="21">
        <f t="shared" si="76"/>
        <v>0</v>
      </c>
      <c r="DR96" s="21">
        <f t="shared" si="76"/>
        <v>0</v>
      </c>
      <c r="DS96" s="21">
        <f t="shared" si="76"/>
        <v>0</v>
      </c>
      <c r="DT96" s="21">
        <f t="shared" si="76"/>
        <v>0</v>
      </c>
      <c r="DU96" s="21">
        <f>+Y96-CV96</f>
        <v>0</v>
      </c>
      <c r="DV96" s="21">
        <f t="shared" si="72"/>
        <v>8734385</v>
      </c>
      <c r="DW96" s="21">
        <f t="shared" si="72"/>
        <v>0</v>
      </c>
      <c r="DX96" s="21">
        <f t="shared" si="72"/>
        <v>0</v>
      </c>
      <c r="DY96" s="21">
        <f t="shared" si="72"/>
        <v>0</v>
      </c>
      <c r="DZ96" s="21">
        <f t="shared" si="72"/>
        <v>0</v>
      </c>
      <c r="EA96" s="21">
        <f t="shared" si="72"/>
        <v>0</v>
      </c>
      <c r="EB96" s="21">
        <f t="shared" si="72"/>
        <v>0</v>
      </c>
      <c r="ED96" s="27">
        <f t="shared" si="58"/>
        <v>292233877</v>
      </c>
      <c r="EE96" s="27">
        <f t="shared" si="60"/>
        <v>292233877</v>
      </c>
      <c r="EF96" s="27">
        <f t="shared" si="61"/>
        <v>292233877</v>
      </c>
    </row>
    <row r="97" spans="1:136" s="38" customFormat="1" ht="21" customHeight="1" thickBot="1" x14ac:dyDescent="0.3">
      <c r="A97" s="56"/>
      <c r="B97" s="164" t="s">
        <v>288</v>
      </c>
      <c r="C97" s="165"/>
      <c r="D97" s="165"/>
      <c r="E97" s="165"/>
      <c r="F97" s="166"/>
      <c r="G97" s="125">
        <f t="shared" ref="G97:AF97" si="77">SUM(G78:G96)</f>
        <v>4618928674</v>
      </c>
      <c r="H97" s="125">
        <f t="shared" si="77"/>
        <v>4682573500</v>
      </c>
      <c r="I97" s="125">
        <f t="shared" si="77"/>
        <v>63644826</v>
      </c>
      <c r="J97" s="125">
        <f t="shared" si="77"/>
        <v>1124229659</v>
      </c>
      <c r="K97" s="125">
        <f t="shared" si="77"/>
        <v>248478958</v>
      </c>
      <c r="L97" s="125">
        <f t="shared" si="77"/>
        <v>24243035</v>
      </c>
      <c r="M97" s="125">
        <f t="shared" si="77"/>
        <v>405520570</v>
      </c>
      <c r="N97" s="125">
        <f t="shared" si="77"/>
        <v>0</v>
      </c>
      <c r="O97" s="125">
        <f t="shared" si="77"/>
        <v>0</v>
      </c>
      <c r="P97" s="125">
        <f t="shared" si="77"/>
        <v>0</v>
      </c>
      <c r="Q97" s="125">
        <f t="shared" si="77"/>
        <v>0</v>
      </c>
      <c r="R97" s="125">
        <f t="shared" si="77"/>
        <v>0</v>
      </c>
      <c r="S97" s="125">
        <f t="shared" si="77"/>
        <v>0</v>
      </c>
      <c r="T97" s="125">
        <f t="shared" si="77"/>
        <v>0</v>
      </c>
      <c r="U97" s="125">
        <f t="shared" si="77"/>
        <v>0</v>
      </c>
      <c r="V97" s="125">
        <f t="shared" si="77"/>
        <v>0</v>
      </c>
      <c r="W97" s="125">
        <f t="shared" si="77"/>
        <v>0</v>
      </c>
      <c r="X97" s="125">
        <f t="shared" si="77"/>
        <v>0</v>
      </c>
      <c r="Y97" s="125">
        <f t="shared" si="77"/>
        <v>0</v>
      </c>
      <c r="Z97" s="125">
        <f t="shared" si="77"/>
        <v>456521042</v>
      </c>
      <c r="AA97" s="125">
        <f t="shared" si="77"/>
        <v>549500000</v>
      </c>
      <c r="AB97" s="125">
        <f t="shared" si="77"/>
        <v>0</v>
      </c>
      <c r="AC97" s="125">
        <f t="shared" si="77"/>
        <v>1729072560</v>
      </c>
      <c r="AD97" s="125">
        <f t="shared" si="77"/>
        <v>0</v>
      </c>
      <c r="AE97" s="125">
        <f t="shared" si="77"/>
        <v>0</v>
      </c>
      <c r="AF97" s="125">
        <f t="shared" si="77"/>
        <v>81362850</v>
      </c>
      <c r="AG97" s="123">
        <f t="shared" si="55"/>
        <v>0.46718510336537838</v>
      </c>
      <c r="AH97" s="125">
        <f>SUM(AH78:AH96)</f>
        <v>2157894670</v>
      </c>
      <c r="AI97" s="125">
        <f>SUM(AI78:AI96)</f>
        <v>341231333</v>
      </c>
      <c r="AJ97" s="125">
        <f>SUM(AJ78:AJ96)</f>
        <v>240679663</v>
      </c>
      <c r="AK97" s="125">
        <f>SUM(AK78:AK96)</f>
        <v>2000000</v>
      </c>
      <c r="AL97" s="125">
        <f>SUM(AL78:AL96)</f>
        <v>165734932</v>
      </c>
      <c r="AM97" s="125">
        <f t="shared" ref="AM97:BE97" si="78">SUM(AM78:AM96)</f>
        <v>0</v>
      </c>
      <c r="AN97" s="125">
        <f t="shared" si="78"/>
        <v>0</v>
      </c>
      <c r="AO97" s="125">
        <f t="shared" si="78"/>
        <v>0</v>
      </c>
      <c r="AP97" s="125">
        <f t="shared" si="78"/>
        <v>0</v>
      </c>
      <c r="AQ97" s="125">
        <f t="shared" si="78"/>
        <v>0</v>
      </c>
      <c r="AR97" s="125">
        <f t="shared" si="78"/>
        <v>0</v>
      </c>
      <c r="AS97" s="125">
        <f t="shared" si="78"/>
        <v>0</v>
      </c>
      <c r="AT97" s="125">
        <f t="shared" si="78"/>
        <v>0</v>
      </c>
      <c r="AU97" s="125">
        <f t="shared" si="78"/>
        <v>0</v>
      </c>
      <c r="AV97" s="125">
        <f t="shared" si="78"/>
        <v>0</v>
      </c>
      <c r="AW97" s="125">
        <f t="shared" si="78"/>
        <v>0</v>
      </c>
      <c r="AX97" s="125">
        <f t="shared" si="78"/>
        <v>0</v>
      </c>
      <c r="AY97" s="125">
        <f t="shared" si="78"/>
        <v>374254611</v>
      </c>
      <c r="AZ97" s="125">
        <f t="shared" si="78"/>
        <v>140874848</v>
      </c>
      <c r="BA97" s="125">
        <f t="shared" si="78"/>
        <v>0</v>
      </c>
      <c r="BB97" s="125">
        <f t="shared" si="78"/>
        <v>821205828</v>
      </c>
      <c r="BC97" s="125">
        <f t="shared" si="78"/>
        <v>0</v>
      </c>
      <c r="BD97" s="125">
        <f t="shared" si="78"/>
        <v>0</v>
      </c>
      <c r="BE97" s="125">
        <f t="shared" si="78"/>
        <v>71913455</v>
      </c>
      <c r="BF97" s="121">
        <f t="shared" si="59"/>
        <v>0.53281489663462156</v>
      </c>
      <c r="BG97" s="125">
        <f t="shared" ref="BG97:CD97" si="79">SUM(BG78:BG96)</f>
        <v>2461034004</v>
      </c>
      <c r="BH97" s="125">
        <f t="shared" si="79"/>
        <v>782998326</v>
      </c>
      <c r="BI97" s="125">
        <f t="shared" si="79"/>
        <v>7799295</v>
      </c>
      <c r="BJ97" s="125">
        <f t="shared" si="79"/>
        <v>22243035</v>
      </c>
      <c r="BK97" s="125">
        <f t="shared" si="79"/>
        <v>239785638</v>
      </c>
      <c r="BL97" s="125">
        <f t="shared" si="79"/>
        <v>0</v>
      </c>
      <c r="BM97" s="125">
        <f t="shared" si="79"/>
        <v>0</v>
      </c>
      <c r="BN97" s="125">
        <f t="shared" si="79"/>
        <v>0</v>
      </c>
      <c r="BO97" s="125">
        <f t="shared" si="79"/>
        <v>0</v>
      </c>
      <c r="BP97" s="125">
        <f t="shared" si="79"/>
        <v>0</v>
      </c>
      <c r="BQ97" s="125">
        <f t="shared" si="79"/>
        <v>0</v>
      </c>
      <c r="BR97" s="125">
        <f t="shared" si="79"/>
        <v>0</v>
      </c>
      <c r="BS97" s="125">
        <f t="shared" si="79"/>
        <v>0</v>
      </c>
      <c r="BT97" s="125">
        <f t="shared" si="79"/>
        <v>0</v>
      </c>
      <c r="BU97" s="125">
        <f t="shared" si="79"/>
        <v>0</v>
      </c>
      <c r="BV97" s="125">
        <f t="shared" si="79"/>
        <v>0</v>
      </c>
      <c r="BW97" s="125">
        <f t="shared" si="79"/>
        <v>0</v>
      </c>
      <c r="BX97" s="125">
        <f t="shared" si="79"/>
        <v>82266431</v>
      </c>
      <c r="BY97" s="125">
        <f t="shared" si="79"/>
        <v>408625152</v>
      </c>
      <c r="BZ97" s="125">
        <f t="shared" si="79"/>
        <v>0</v>
      </c>
      <c r="CA97" s="125">
        <f t="shared" si="79"/>
        <v>907866732</v>
      </c>
      <c r="CB97" s="125">
        <f t="shared" si="79"/>
        <v>0</v>
      </c>
      <c r="CC97" s="125">
        <f t="shared" si="79"/>
        <v>0</v>
      </c>
      <c r="CD97" s="125">
        <f t="shared" si="79"/>
        <v>9449395</v>
      </c>
      <c r="CE97" s="121">
        <f t="shared" si="56"/>
        <v>0.46718510336537838</v>
      </c>
      <c r="CF97" s="125">
        <f>SUM(CF78:CF96)</f>
        <v>2157894670</v>
      </c>
      <c r="CG97" s="125">
        <f>SUM(CG78:CG96)</f>
        <v>341231333</v>
      </c>
      <c r="CH97" s="125">
        <f t="shared" ref="CH97:DB97" si="80">SUM(CH78:CH96)</f>
        <v>240679663</v>
      </c>
      <c r="CI97" s="125">
        <f t="shared" si="80"/>
        <v>2000000</v>
      </c>
      <c r="CJ97" s="125">
        <f t="shared" si="80"/>
        <v>165734932</v>
      </c>
      <c r="CK97" s="125">
        <f t="shared" si="80"/>
        <v>0</v>
      </c>
      <c r="CL97" s="125">
        <f t="shared" si="80"/>
        <v>0</v>
      </c>
      <c r="CM97" s="125">
        <f t="shared" si="80"/>
        <v>0</v>
      </c>
      <c r="CN97" s="125">
        <f t="shared" si="80"/>
        <v>0</v>
      </c>
      <c r="CO97" s="125">
        <f t="shared" si="80"/>
        <v>0</v>
      </c>
      <c r="CP97" s="125">
        <f t="shared" si="80"/>
        <v>0</v>
      </c>
      <c r="CQ97" s="125">
        <f t="shared" si="80"/>
        <v>0</v>
      </c>
      <c r="CR97" s="125">
        <f t="shared" si="80"/>
        <v>0</v>
      </c>
      <c r="CS97" s="125">
        <f t="shared" si="80"/>
        <v>0</v>
      </c>
      <c r="CT97" s="125">
        <f t="shared" si="80"/>
        <v>0</v>
      </c>
      <c r="CU97" s="125">
        <f t="shared" si="80"/>
        <v>0</v>
      </c>
      <c r="CV97" s="125">
        <f t="shared" si="80"/>
        <v>0</v>
      </c>
      <c r="CW97" s="125">
        <f>SUM(CW78:CW96)</f>
        <v>374254611</v>
      </c>
      <c r="CX97" s="125">
        <f t="shared" si="80"/>
        <v>140874848</v>
      </c>
      <c r="CY97" s="125">
        <f>SUM(CY78:CY96)</f>
        <v>0</v>
      </c>
      <c r="CZ97" s="125">
        <f t="shared" si="80"/>
        <v>821205828</v>
      </c>
      <c r="DA97" s="125">
        <f t="shared" si="80"/>
        <v>0</v>
      </c>
      <c r="DB97" s="125">
        <f t="shared" si="80"/>
        <v>0</v>
      </c>
      <c r="DC97" s="125">
        <f>SUM(DC78:DC96)</f>
        <v>71913455</v>
      </c>
      <c r="DD97" s="123">
        <f t="shared" si="57"/>
        <v>0.53281489663462156</v>
      </c>
      <c r="DE97" s="125">
        <f t="shared" ref="DE97:EB97" si="81">SUM(DE78:DE96)</f>
        <v>2461034004</v>
      </c>
      <c r="DF97" s="125">
        <f t="shared" si="81"/>
        <v>782998326</v>
      </c>
      <c r="DG97" s="125">
        <f t="shared" si="81"/>
        <v>7799295</v>
      </c>
      <c r="DH97" s="125">
        <f t="shared" si="81"/>
        <v>22243035</v>
      </c>
      <c r="DI97" s="125">
        <f t="shared" si="81"/>
        <v>239785638</v>
      </c>
      <c r="DJ97" s="125">
        <f t="shared" si="81"/>
        <v>0</v>
      </c>
      <c r="DK97" s="125">
        <f t="shared" si="81"/>
        <v>0</v>
      </c>
      <c r="DL97" s="125">
        <f t="shared" si="81"/>
        <v>0</v>
      </c>
      <c r="DM97" s="125">
        <f t="shared" si="81"/>
        <v>0</v>
      </c>
      <c r="DN97" s="125">
        <f t="shared" si="81"/>
        <v>0</v>
      </c>
      <c r="DO97" s="125">
        <f t="shared" si="81"/>
        <v>0</v>
      </c>
      <c r="DP97" s="125">
        <f t="shared" si="81"/>
        <v>0</v>
      </c>
      <c r="DQ97" s="125">
        <f t="shared" si="81"/>
        <v>0</v>
      </c>
      <c r="DR97" s="125">
        <f t="shared" si="81"/>
        <v>0</v>
      </c>
      <c r="DS97" s="125">
        <f t="shared" si="81"/>
        <v>0</v>
      </c>
      <c r="DT97" s="125">
        <f t="shared" si="81"/>
        <v>0</v>
      </c>
      <c r="DU97" s="125">
        <f t="shared" si="81"/>
        <v>0</v>
      </c>
      <c r="DV97" s="125">
        <f t="shared" si="81"/>
        <v>82266431</v>
      </c>
      <c r="DW97" s="125">
        <f t="shared" si="81"/>
        <v>408625152</v>
      </c>
      <c r="DX97" s="125">
        <f t="shared" si="81"/>
        <v>0</v>
      </c>
      <c r="DY97" s="125">
        <f t="shared" si="81"/>
        <v>907866732</v>
      </c>
      <c r="DZ97" s="125">
        <f t="shared" si="81"/>
        <v>0</v>
      </c>
      <c r="EA97" s="125">
        <f t="shared" si="81"/>
        <v>0</v>
      </c>
      <c r="EB97" s="125">
        <f t="shared" si="81"/>
        <v>9449395</v>
      </c>
      <c r="ED97" s="27">
        <f t="shared" si="58"/>
        <v>4618928674</v>
      </c>
      <c r="EE97" s="27">
        <f t="shared" si="60"/>
        <v>4618928674</v>
      </c>
      <c r="EF97" s="27">
        <f t="shared" si="61"/>
        <v>4618928674</v>
      </c>
    </row>
    <row r="98" spans="1:136" ht="20.399999999999999" customHeight="1" thickTop="1" x14ac:dyDescent="0.3">
      <c r="A98" s="167"/>
      <c r="B98" s="168" t="s">
        <v>289</v>
      </c>
      <c r="C98" s="44" t="s">
        <v>290</v>
      </c>
      <c r="D98" s="18" t="s">
        <v>291</v>
      </c>
      <c r="E98" s="61">
        <v>111</v>
      </c>
      <c r="F98" s="20" t="s">
        <v>243</v>
      </c>
      <c r="G98" s="21">
        <f t="shared" ref="G98:G128" si="82">SUM(J98:AF98)</f>
        <v>10598461344</v>
      </c>
      <c r="H98" s="22">
        <v>2559000000</v>
      </c>
      <c r="I98" s="22">
        <f>H98-G98</f>
        <v>-8039461344</v>
      </c>
      <c r="J98" s="21">
        <v>434799132</v>
      </c>
      <c r="K98" s="60"/>
      <c r="L98" s="21"/>
      <c r="M98" s="21">
        <f>1072500000+565035267</f>
        <v>1637535267</v>
      </c>
      <c r="N98" s="21">
        <v>6856843769</v>
      </c>
      <c r="O98" s="21"/>
      <c r="P98" s="21"/>
      <c r="Q98" s="21">
        <v>510290626</v>
      </c>
      <c r="R98" s="21">
        <v>223474173</v>
      </c>
      <c r="S98" s="21"/>
      <c r="T98" s="21">
        <v>412659033</v>
      </c>
      <c r="U98" s="21"/>
      <c r="V98" s="21"/>
      <c r="W98" s="21">
        <v>188082849</v>
      </c>
      <c r="X98" s="21">
        <v>290776495</v>
      </c>
      <c r="Y98" s="21"/>
      <c r="Z98" s="21"/>
      <c r="AA98" s="21"/>
      <c r="AB98" s="21"/>
      <c r="AC98" s="21"/>
      <c r="AD98" s="21"/>
      <c r="AE98" s="21"/>
      <c r="AF98" s="21">
        <f>44000000</f>
        <v>44000000</v>
      </c>
      <c r="AG98" s="42">
        <f t="shared" si="55"/>
        <v>0.73993417152383212</v>
      </c>
      <c r="AH98" s="21">
        <f t="shared" si="41"/>
        <v>7842163714</v>
      </c>
      <c r="AI98" s="21">
        <f>+'[6]Acuerdo PLAN INVERSIÓN 2021'!$L$2277</f>
        <v>434799132</v>
      </c>
      <c r="AJ98" s="21"/>
      <c r="AK98" s="21"/>
      <c r="AL98" s="21"/>
      <c r="AM98" s="21">
        <f>+'[6]Acuerdo PLAN INVERSIÓN 2021'!$N$2277</f>
        <v>6855066956</v>
      </c>
      <c r="AN98" s="21"/>
      <c r="AO98" s="21"/>
      <c r="AP98" s="21">
        <v>510290626</v>
      </c>
      <c r="AQ98" s="21"/>
      <c r="AR98" s="21"/>
      <c r="AS98" s="21"/>
      <c r="AT98" s="21"/>
      <c r="AU98" s="21"/>
      <c r="AV98" s="21">
        <f>+'[1]Acuerdo PLAN INVERSIÓN 2021'!$R$6839</f>
        <v>42007000</v>
      </c>
      <c r="AW98" s="21"/>
      <c r="AX98" s="21"/>
      <c r="AY98" s="21"/>
      <c r="AZ98" s="21"/>
      <c r="BA98" s="21"/>
      <c r="BB98" s="21"/>
      <c r="BC98" s="21"/>
      <c r="BD98" s="21"/>
      <c r="BE98" s="21"/>
      <c r="BF98" s="23">
        <f t="shared" si="59"/>
        <v>0.26006582847616788</v>
      </c>
      <c r="BG98" s="21">
        <f t="shared" si="68"/>
        <v>2756297630</v>
      </c>
      <c r="BH98" s="21">
        <f t="shared" ref="BH98:BW113" si="83">+J98-AI98</f>
        <v>0</v>
      </c>
      <c r="BI98" s="21">
        <f t="shared" si="83"/>
        <v>0</v>
      </c>
      <c r="BJ98" s="21">
        <f t="shared" si="83"/>
        <v>0</v>
      </c>
      <c r="BK98" s="21">
        <f t="shared" si="83"/>
        <v>1637535267</v>
      </c>
      <c r="BL98" s="21">
        <f t="shared" si="83"/>
        <v>1776813</v>
      </c>
      <c r="BM98" s="21">
        <f t="shared" si="83"/>
        <v>0</v>
      </c>
      <c r="BN98" s="21">
        <f t="shared" si="83"/>
        <v>0</v>
      </c>
      <c r="BO98" s="21">
        <f t="shared" si="83"/>
        <v>0</v>
      </c>
      <c r="BP98" s="21">
        <f t="shared" si="83"/>
        <v>223474173</v>
      </c>
      <c r="BQ98" s="21">
        <f t="shared" si="83"/>
        <v>0</v>
      </c>
      <c r="BR98" s="21">
        <f t="shared" si="83"/>
        <v>412659033</v>
      </c>
      <c r="BS98" s="21">
        <f t="shared" si="83"/>
        <v>0</v>
      </c>
      <c r="BT98" s="21">
        <f t="shared" si="83"/>
        <v>0</v>
      </c>
      <c r="BU98" s="21">
        <f t="shared" si="83"/>
        <v>146075849</v>
      </c>
      <c r="BV98" s="21">
        <f t="shared" si="83"/>
        <v>290776495</v>
      </c>
      <c r="BW98" s="21">
        <f t="shared" si="83"/>
        <v>0</v>
      </c>
      <c r="BX98" s="21">
        <f t="shared" ref="BX98:CD128" si="84">+Z98-AY98</f>
        <v>0</v>
      </c>
      <c r="BY98" s="21">
        <f t="shared" si="84"/>
        <v>0</v>
      </c>
      <c r="BZ98" s="21">
        <f t="shared" si="84"/>
        <v>0</v>
      </c>
      <c r="CA98" s="21">
        <f t="shared" si="84"/>
        <v>0</v>
      </c>
      <c r="CB98" s="21">
        <f t="shared" si="84"/>
        <v>0</v>
      </c>
      <c r="CC98" s="21">
        <f t="shared" si="84"/>
        <v>0</v>
      </c>
      <c r="CD98" s="21">
        <f t="shared" si="84"/>
        <v>44000000</v>
      </c>
      <c r="CE98" s="42">
        <f t="shared" si="56"/>
        <v>0.73993417152383212</v>
      </c>
      <c r="CF98" s="21">
        <f t="shared" si="45"/>
        <v>7842163714</v>
      </c>
      <c r="CG98" s="21">
        <f>+'[6]Acuerdo PLAN INVERSIÓN 2021'!$L$2277</f>
        <v>434799132</v>
      </c>
      <c r="CH98" s="21"/>
      <c r="CI98" s="21"/>
      <c r="CJ98" s="21"/>
      <c r="CK98" s="21">
        <f>+'[6]Acuerdo PLAN INVERSIÓN 2021'!$N$2277</f>
        <v>6855066956</v>
      </c>
      <c r="CL98" s="21"/>
      <c r="CM98" s="21"/>
      <c r="CN98" s="21">
        <v>510290626</v>
      </c>
      <c r="CO98" s="21"/>
      <c r="CP98" s="21"/>
      <c r="CQ98" s="21"/>
      <c r="CR98" s="21"/>
      <c r="CS98" s="21"/>
      <c r="CT98" s="21">
        <f>+'[1]Acuerdo PLAN INVERSIÓN 2021'!$R$6839</f>
        <v>42007000</v>
      </c>
      <c r="CU98" s="21"/>
      <c r="CV98" s="21"/>
      <c r="CW98" s="21"/>
      <c r="CX98" s="21"/>
      <c r="CY98" s="21"/>
      <c r="CZ98" s="21"/>
      <c r="DA98" s="21"/>
      <c r="DB98" s="21"/>
      <c r="DC98" s="21"/>
      <c r="DD98" s="23">
        <f t="shared" si="57"/>
        <v>0.26006582847616788</v>
      </c>
      <c r="DE98" s="21">
        <f t="shared" ref="DE98:DE128" si="85">SUM(DF98:EB98)</f>
        <v>2756297630</v>
      </c>
      <c r="DF98" s="21">
        <f t="shared" ref="DF98:DU113" si="86">+J98-CG98</f>
        <v>0</v>
      </c>
      <c r="DG98" s="21">
        <f t="shared" si="86"/>
        <v>0</v>
      </c>
      <c r="DH98" s="21">
        <f t="shared" si="86"/>
        <v>0</v>
      </c>
      <c r="DI98" s="21">
        <f t="shared" si="86"/>
        <v>1637535267</v>
      </c>
      <c r="DJ98" s="21">
        <f t="shared" si="86"/>
        <v>1776813</v>
      </c>
      <c r="DK98" s="21">
        <f t="shared" si="86"/>
        <v>0</v>
      </c>
      <c r="DL98" s="21">
        <f t="shared" si="86"/>
        <v>0</v>
      </c>
      <c r="DM98" s="21">
        <f t="shared" si="86"/>
        <v>0</v>
      </c>
      <c r="DN98" s="21">
        <f t="shared" si="86"/>
        <v>223474173</v>
      </c>
      <c r="DO98" s="21">
        <f t="shared" si="86"/>
        <v>0</v>
      </c>
      <c r="DP98" s="21">
        <f t="shared" si="86"/>
        <v>412659033</v>
      </c>
      <c r="DQ98" s="21">
        <f t="shared" si="86"/>
        <v>0</v>
      </c>
      <c r="DR98" s="21">
        <f t="shared" si="86"/>
        <v>0</v>
      </c>
      <c r="DS98" s="21">
        <f t="shared" si="86"/>
        <v>146075849</v>
      </c>
      <c r="DT98" s="21">
        <f t="shared" si="86"/>
        <v>290776495</v>
      </c>
      <c r="DU98" s="21">
        <f t="shared" si="86"/>
        <v>0</v>
      </c>
      <c r="DV98" s="21">
        <f t="shared" ref="DV98:EB128" si="87">+Z98-CW98</f>
        <v>0</v>
      </c>
      <c r="DW98" s="21">
        <f t="shared" si="87"/>
        <v>0</v>
      </c>
      <c r="DX98" s="21">
        <f t="shared" si="87"/>
        <v>0</v>
      </c>
      <c r="DY98" s="21">
        <f t="shared" si="87"/>
        <v>0</v>
      </c>
      <c r="DZ98" s="21">
        <f t="shared" si="87"/>
        <v>0</v>
      </c>
      <c r="EA98" s="21">
        <f t="shared" si="87"/>
        <v>0</v>
      </c>
      <c r="EB98" s="21">
        <f t="shared" si="87"/>
        <v>44000000</v>
      </c>
      <c r="ED98" s="27">
        <f t="shared" si="58"/>
        <v>10598461344</v>
      </c>
      <c r="EE98" s="27">
        <f t="shared" si="60"/>
        <v>10598461344</v>
      </c>
      <c r="EF98" s="27">
        <f t="shared" si="61"/>
        <v>10598461344</v>
      </c>
    </row>
    <row r="99" spans="1:136" s="64" customFormat="1" ht="19.95" customHeight="1" x14ac:dyDescent="0.3">
      <c r="A99" s="167"/>
      <c r="B99" s="168"/>
      <c r="C99" s="44" t="s">
        <v>292</v>
      </c>
      <c r="D99" s="18" t="s">
        <v>293</v>
      </c>
      <c r="E99" s="62">
        <v>111</v>
      </c>
      <c r="F99" s="20" t="s">
        <v>243</v>
      </c>
      <c r="G99" s="21">
        <f t="shared" si="82"/>
        <v>426445085</v>
      </c>
      <c r="H99" s="22">
        <v>500136000</v>
      </c>
      <c r="I99" s="22">
        <f t="shared" ref="I99:I128" si="88">H99-G99</f>
        <v>73690915</v>
      </c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>
        <v>426445085</v>
      </c>
      <c r="X99" s="21"/>
      <c r="Y99" s="21"/>
      <c r="Z99" s="21"/>
      <c r="AA99" s="21"/>
      <c r="AB99" s="21"/>
      <c r="AC99" s="21"/>
      <c r="AD99" s="21"/>
      <c r="AE99" s="21"/>
      <c r="AF99" s="21"/>
      <c r="AG99" s="23">
        <f t="shared" si="55"/>
        <v>0</v>
      </c>
      <c r="AH99" s="21">
        <f t="shared" si="41"/>
        <v>0</v>
      </c>
      <c r="AI99" s="63"/>
      <c r="AJ99" s="63"/>
      <c r="AK99" s="63"/>
      <c r="AL99" s="63"/>
      <c r="AM99" s="63"/>
      <c r="AN99" s="63"/>
      <c r="AO99" s="63"/>
      <c r="AP99" s="63"/>
      <c r="AQ99" s="63"/>
      <c r="AR99" s="63"/>
      <c r="AS99" s="63"/>
      <c r="AT99" s="63"/>
      <c r="AU99" s="63"/>
      <c r="AV99" s="63"/>
      <c r="AW99" s="63"/>
      <c r="AX99" s="63"/>
      <c r="AY99" s="63"/>
      <c r="AZ99" s="63"/>
      <c r="BA99" s="63"/>
      <c r="BB99" s="63"/>
      <c r="BC99" s="63"/>
      <c r="BD99" s="63"/>
      <c r="BE99" s="63"/>
      <c r="BF99" s="23">
        <f t="shared" si="59"/>
        <v>1</v>
      </c>
      <c r="BG99" s="21">
        <f t="shared" si="68"/>
        <v>426445085</v>
      </c>
      <c r="BH99" s="21">
        <f t="shared" si="83"/>
        <v>0</v>
      </c>
      <c r="BI99" s="21">
        <f t="shared" si="83"/>
        <v>0</v>
      </c>
      <c r="BJ99" s="21">
        <f t="shared" si="83"/>
        <v>0</v>
      </c>
      <c r="BK99" s="21">
        <f t="shared" si="83"/>
        <v>0</v>
      </c>
      <c r="BL99" s="21">
        <f t="shared" si="83"/>
        <v>0</v>
      </c>
      <c r="BM99" s="21">
        <f t="shared" si="83"/>
        <v>0</v>
      </c>
      <c r="BN99" s="21">
        <f t="shared" si="83"/>
        <v>0</v>
      </c>
      <c r="BO99" s="21">
        <f t="shared" si="83"/>
        <v>0</v>
      </c>
      <c r="BP99" s="21">
        <f t="shared" si="83"/>
        <v>0</v>
      </c>
      <c r="BQ99" s="21">
        <f t="shared" si="83"/>
        <v>0</v>
      </c>
      <c r="BR99" s="21">
        <f t="shared" si="83"/>
        <v>0</v>
      </c>
      <c r="BS99" s="21">
        <f t="shared" si="83"/>
        <v>0</v>
      </c>
      <c r="BT99" s="21">
        <f t="shared" si="83"/>
        <v>0</v>
      </c>
      <c r="BU99" s="21">
        <f t="shared" si="83"/>
        <v>426445085</v>
      </c>
      <c r="BV99" s="21">
        <f t="shared" si="83"/>
        <v>0</v>
      </c>
      <c r="BW99" s="21">
        <f t="shared" si="83"/>
        <v>0</v>
      </c>
      <c r="BX99" s="21">
        <f t="shared" si="84"/>
        <v>0</v>
      </c>
      <c r="BY99" s="21">
        <f t="shared" si="84"/>
        <v>0</v>
      </c>
      <c r="BZ99" s="21">
        <f t="shared" si="84"/>
        <v>0</v>
      </c>
      <c r="CA99" s="21">
        <f t="shared" si="84"/>
        <v>0</v>
      </c>
      <c r="CB99" s="21">
        <f t="shared" si="84"/>
        <v>0</v>
      </c>
      <c r="CC99" s="21">
        <f t="shared" si="84"/>
        <v>0</v>
      </c>
      <c r="CD99" s="21">
        <f t="shared" si="84"/>
        <v>0</v>
      </c>
      <c r="CE99" s="23">
        <f t="shared" si="56"/>
        <v>0</v>
      </c>
      <c r="CF99" s="21">
        <f t="shared" si="45"/>
        <v>0</v>
      </c>
      <c r="CG99" s="63"/>
      <c r="CH99" s="63"/>
      <c r="CI99" s="63"/>
      <c r="CJ99" s="63"/>
      <c r="CK99" s="63"/>
      <c r="CL99" s="63"/>
      <c r="CM99" s="63"/>
      <c r="CN99" s="21"/>
      <c r="CO99" s="21"/>
      <c r="CP99" s="63"/>
      <c r="CQ99" s="63"/>
      <c r="CR99" s="63"/>
      <c r="CS99" s="63"/>
      <c r="CT99" s="63"/>
      <c r="CU99" s="63"/>
      <c r="CV99" s="63"/>
      <c r="CW99" s="63"/>
      <c r="CX99" s="63"/>
      <c r="CY99" s="63"/>
      <c r="CZ99" s="63"/>
      <c r="DA99" s="63"/>
      <c r="DB99" s="63"/>
      <c r="DC99" s="63"/>
      <c r="DD99" s="23">
        <f t="shared" si="57"/>
        <v>1</v>
      </c>
      <c r="DE99" s="21">
        <f t="shared" si="85"/>
        <v>426445085</v>
      </c>
      <c r="DF99" s="21">
        <f t="shared" si="86"/>
        <v>0</v>
      </c>
      <c r="DG99" s="21">
        <f t="shared" si="86"/>
        <v>0</v>
      </c>
      <c r="DH99" s="21">
        <f t="shared" si="86"/>
        <v>0</v>
      </c>
      <c r="DI99" s="21">
        <f t="shared" si="86"/>
        <v>0</v>
      </c>
      <c r="DJ99" s="21">
        <f t="shared" si="86"/>
        <v>0</v>
      </c>
      <c r="DK99" s="21">
        <f t="shared" si="86"/>
        <v>0</v>
      </c>
      <c r="DL99" s="21">
        <f t="shared" si="86"/>
        <v>0</v>
      </c>
      <c r="DM99" s="21">
        <f t="shared" si="86"/>
        <v>0</v>
      </c>
      <c r="DN99" s="21">
        <f t="shared" si="86"/>
        <v>0</v>
      </c>
      <c r="DO99" s="21">
        <f t="shared" si="86"/>
        <v>0</v>
      </c>
      <c r="DP99" s="21">
        <f t="shared" si="86"/>
        <v>0</v>
      </c>
      <c r="DQ99" s="21">
        <f t="shared" si="86"/>
        <v>0</v>
      </c>
      <c r="DR99" s="21">
        <f t="shared" si="86"/>
        <v>0</v>
      </c>
      <c r="DS99" s="21">
        <f t="shared" si="86"/>
        <v>426445085</v>
      </c>
      <c r="DT99" s="21">
        <f t="shared" si="86"/>
        <v>0</v>
      </c>
      <c r="DU99" s="21">
        <f t="shared" si="86"/>
        <v>0</v>
      </c>
      <c r="DV99" s="21">
        <f t="shared" si="87"/>
        <v>0</v>
      </c>
      <c r="DW99" s="21">
        <f t="shared" si="87"/>
        <v>0</v>
      </c>
      <c r="DX99" s="21">
        <f t="shared" si="87"/>
        <v>0</v>
      </c>
      <c r="DY99" s="21">
        <f t="shared" si="87"/>
        <v>0</v>
      </c>
      <c r="DZ99" s="21">
        <f t="shared" si="87"/>
        <v>0</v>
      </c>
      <c r="EA99" s="21">
        <f t="shared" si="87"/>
        <v>0</v>
      </c>
      <c r="EB99" s="21">
        <f t="shared" si="87"/>
        <v>0</v>
      </c>
      <c r="ED99" s="27">
        <f t="shared" si="58"/>
        <v>426445085</v>
      </c>
      <c r="EE99" s="27">
        <f t="shared" si="60"/>
        <v>426445085</v>
      </c>
      <c r="EF99" s="27">
        <f t="shared" si="61"/>
        <v>426445085</v>
      </c>
    </row>
    <row r="100" spans="1:136" ht="19.95" customHeight="1" x14ac:dyDescent="0.3">
      <c r="A100" s="167"/>
      <c r="B100" s="168"/>
      <c r="C100" s="44" t="s">
        <v>294</v>
      </c>
      <c r="D100" s="18" t="s">
        <v>295</v>
      </c>
      <c r="E100" s="62">
        <v>111</v>
      </c>
      <c r="F100" s="20" t="s">
        <v>243</v>
      </c>
      <c r="G100" s="21">
        <f t="shared" si="82"/>
        <v>5000000</v>
      </c>
      <c r="H100" s="22">
        <v>350000000</v>
      </c>
      <c r="I100" s="22">
        <f t="shared" si="88"/>
        <v>345000000</v>
      </c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>
        <f>5000000</f>
        <v>5000000</v>
      </c>
      <c r="AG100" s="23">
        <f t="shared" si="55"/>
        <v>0.99741999999999997</v>
      </c>
      <c r="AH100" s="21">
        <f t="shared" si="41"/>
        <v>4987100</v>
      </c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>
        <f>+'[1]Acuerdo PLAN INVERSIÓN 2021'!$AF$6871</f>
        <v>4987100</v>
      </c>
      <c r="BF100" s="23">
        <f t="shared" si="59"/>
        <v>2.5800000000000267E-3</v>
      </c>
      <c r="BG100" s="21">
        <f t="shared" si="68"/>
        <v>12900</v>
      </c>
      <c r="BH100" s="21">
        <f t="shared" si="83"/>
        <v>0</v>
      </c>
      <c r="BI100" s="21">
        <f t="shared" si="83"/>
        <v>0</v>
      </c>
      <c r="BJ100" s="21">
        <f t="shared" si="83"/>
        <v>0</v>
      </c>
      <c r="BK100" s="21">
        <f t="shared" si="83"/>
        <v>0</v>
      </c>
      <c r="BL100" s="21">
        <f t="shared" si="83"/>
        <v>0</v>
      </c>
      <c r="BM100" s="21">
        <f t="shared" si="83"/>
        <v>0</v>
      </c>
      <c r="BN100" s="21">
        <f t="shared" si="83"/>
        <v>0</v>
      </c>
      <c r="BO100" s="21">
        <f t="shared" si="83"/>
        <v>0</v>
      </c>
      <c r="BP100" s="21">
        <f t="shared" si="83"/>
        <v>0</v>
      </c>
      <c r="BQ100" s="21">
        <f t="shared" si="83"/>
        <v>0</v>
      </c>
      <c r="BR100" s="21">
        <f t="shared" si="83"/>
        <v>0</v>
      </c>
      <c r="BS100" s="21">
        <f t="shared" si="83"/>
        <v>0</v>
      </c>
      <c r="BT100" s="21">
        <f t="shared" si="83"/>
        <v>0</v>
      </c>
      <c r="BU100" s="21">
        <f t="shared" si="83"/>
        <v>0</v>
      </c>
      <c r="BV100" s="21">
        <f t="shared" si="83"/>
        <v>0</v>
      </c>
      <c r="BW100" s="21">
        <f t="shared" si="83"/>
        <v>0</v>
      </c>
      <c r="BX100" s="21">
        <f t="shared" si="84"/>
        <v>0</v>
      </c>
      <c r="BY100" s="21">
        <f t="shared" si="84"/>
        <v>0</v>
      </c>
      <c r="BZ100" s="21">
        <f t="shared" si="84"/>
        <v>0</v>
      </c>
      <c r="CA100" s="21">
        <f t="shared" si="84"/>
        <v>0</v>
      </c>
      <c r="CB100" s="21">
        <f t="shared" si="84"/>
        <v>0</v>
      </c>
      <c r="CC100" s="21">
        <f t="shared" si="84"/>
        <v>0</v>
      </c>
      <c r="CD100" s="21">
        <f t="shared" si="84"/>
        <v>12900</v>
      </c>
      <c r="CE100" s="23">
        <f t="shared" si="56"/>
        <v>0.99741999999999997</v>
      </c>
      <c r="CF100" s="21">
        <f t="shared" si="45"/>
        <v>4987100</v>
      </c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>
        <f>+'[1]Acuerdo PLAN INVERSIÓN 2021'!$AF$6871</f>
        <v>4987100</v>
      </c>
      <c r="DD100" s="23">
        <f t="shared" si="57"/>
        <v>2.5800000000000267E-3</v>
      </c>
      <c r="DE100" s="21">
        <f t="shared" si="85"/>
        <v>12900</v>
      </c>
      <c r="DF100" s="21">
        <f t="shared" si="86"/>
        <v>0</v>
      </c>
      <c r="DG100" s="21">
        <f t="shared" si="86"/>
        <v>0</v>
      </c>
      <c r="DH100" s="21">
        <f t="shared" si="86"/>
        <v>0</v>
      </c>
      <c r="DI100" s="21">
        <f t="shared" si="86"/>
        <v>0</v>
      </c>
      <c r="DJ100" s="21">
        <f t="shared" si="86"/>
        <v>0</v>
      </c>
      <c r="DK100" s="21">
        <f t="shared" si="86"/>
        <v>0</v>
      </c>
      <c r="DL100" s="21">
        <f t="shared" si="86"/>
        <v>0</v>
      </c>
      <c r="DM100" s="21">
        <f t="shared" si="86"/>
        <v>0</v>
      </c>
      <c r="DN100" s="21">
        <f t="shared" si="86"/>
        <v>0</v>
      </c>
      <c r="DO100" s="21">
        <f t="shared" si="86"/>
        <v>0</v>
      </c>
      <c r="DP100" s="21">
        <f t="shared" si="86"/>
        <v>0</v>
      </c>
      <c r="DQ100" s="21">
        <f t="shared" si="86"/>
        <v>0</v>
      </c>
      <c r="DR100" s="21">
        <f t="shared" si="86"/>
        <v>0</v>
      </c>
      <c r="DS100" s="21">
        <f t="shared" si="86"/>
        <v>0</v>
      </c>
      <c r="DT100" s="21">
        <f t="shared" si="86"/>
        <v>0</v>
      </c>
      <c r="DU100" s="21">
        <f t="shared" si="86"/>
        <v>0</v>
      </c>
      <c r="DV100" s="21">
        <f t="shared" si="87"/>
        <v>0</v>
      </c>
      <c r="DW100" s="21">
        <f t="shared" si="87"/>
        <v>0</v>
      </c>
      <c r="DX100" s="21">
        <f t="shared" si="87"/>
        <v>0</v>
      </c>
      <c r="DY100" s="21">
        <f t="shared" si="87"/>
        <v>0</v>
      </c>
      <c r="DZ100" s="21">
        <f t="shared" si="87"/>
        <v>0</v>
      </c>
      <c r="EA100" s="21">
        <f t="shared" si="87"/>
        <v>0</v>
      </c>
      <c r="EB100" s="21">
        <f t="shared" si="87"/>
        <v>12900</v>
      </c>
      <c r="ED100" s="27">
        <f t="shared" si="58"/>
        <v>5000000</v>
      </c>
      <c r="EE100" s="27">
        <f t="shared" si="60"/>
        <v>5000000</v>
      </c>
      <c r="EF100" s="27">
        <f t="shared" si="61"/>
        <v>5000000</v>
      </c>
    </row>
    <row r="101" spans="1:136" ht="28.5" customHeight="1" x14ac:dyDescent="0.3">
      <c r="A101" s="167"/>
      <c r="B101" s="168"/>
      <c r="C101" s="44" t="s">
        <v>296</v>
      </c>
      <c r="D101" s="53" t="s">
        <v>297</v>
      </c>
      <c r="E101" s="62">
        <v>111</v>
      </c>
      <c r="F101" s="20" t="s">
        <v>298</v>
      </c>
      <c r="G101" s="21">
        <f t="shared" si="82"/>
        <v>3186726279</v>
      </c>
      <c r="H101" s="22">
        <v>100000000</v>
      </c>
      <c r="I101" s="22">
        <f t="shared" si="88"/>
        <v>-3086726279</v>
      </c>
      <c r="J101" s="21"/>
      <c r="K101" s="60">
        <f>21492594+22519000</f>
        <v>44011594</v>
      </c>
      <c r="L101" s="21"/>
      <c r="M101" s="21">
        <f>1835637612+125185079</f>
        <v>1960822691</v>
      </c>
      <c r="N101" s="21"/>
      <c r="O101" s="21"/>
      <c r="P101" s="21"/>
      <c r="Q101" s="21"/>
      <c r="R101" s="21">
        <f>336385230+33606591</f>
        <v>369991821</v>
      </c>
      <c r="S101" s="21">
        <f>50000000+50000000</f>
        <v>100000000</v>
      </c>
      <c r="T101" s="21"/>
      <c r="U101" s="21"/>
      <c r="V101" s="21">
        <f>72000000+82630269</f>
        <v>154630269</v>
      </c>
      <c r="W101" s="21"/>
      <c r="X101" s="21"/>
      <c r="Y101" s="21"/>
      <c r="Z101" s="21"/>
      <c r="AA101" s="21">
        <v>404000000</v>
      </c>
      <c r="AB101" s="21"/>
      <c r="AC101" s="21"/>
      <c r="AD101" s="21"/>
      <c r="AE101" s="21">
        <f>123846638-36000000-10000000</f>
        <v>77846638</v>
      </c>
      <c r="AF101" s="21">
        <f>15000000+20000000+30000000+25000000-14576734</f>
        <v>75423266</v>
      </c>
      <c r="AG101" s="23">
        <f t="shared" si="55"/>
        <v>0.12039574171409405</v>
      </c>
      <c r="AH101" s="21">
        <f t="shared" si="41"/>
        <v>383668274</v>
      </c>
      <c r="AI101" s="21"/>
      <c r="AJ101" s="21">
        <f>+'[1]Acuerdo PLAN INVERSIÓN 2021'!$J$6883</f>
        <v>0</v>
      </c>
      <c r="AK101" s="21"/>
      <c r="AL101" s="21">
        <f>+'[1]Acuerdo PLAN INVERSIÓN 2021'!$M$6883</f>
        <v>334123055</v>
      </c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>
        <f>+'[1]Acuerdo PLAN INVERSIÓN 2021'!$X$6883</f>
        <v>13021449</v>
      </c>
      <c r="BA101" s="21"/>
      <c r="BB101" s="21"/>
      <c r="BC101" s="21"/>
      <c r="BD101" s="21"/>
      <c r="BE101" s="21">
        <f>+'[1]Acuerdo PLAN INVERSIÓN 2021'!$AF$6883</f>
        <v>36523770</v>
      </c>
      <c r="BF101" s="23">
        <f t="shared" si="59"/>
        <v>0.87960425828590594</v>
      </c>
      <c r="BG101" s="21">
        <f t="shared" si="68"/>
        <v>2803058005</v>
      </c>
      <c r="BH101" s="21">
        <f t="shared" si="83"/>
        <v>0</v>
      </c>
      <c r="BI101" s="21">
        <f t="shared" si="83"/>
        <v>44011594</v>
      </c>
      <c r="BJ101" s="21">
        <f t="shared" si="83"/>
        <v>0</v>
      </c>
      <c r="BK101" s="21">
        <f t="shared" si="83"/>
        <v>1626699636</v>
      </c>
      <c r="BL101" s="21">
        <f t="shared" si="83"/>
        <v>0</v>
      </c>
      <c r="BM101" s="21">
        <f t="shared" si="83"/>
        <v>0</v>
      </c>
      <c r="BN101" s="21">
        <f t="shared" si="83"/>
        <v>0</v>
      </c>
      <c r="BO101" s="21">
        <f t="shared" si="83"/>
        <v>0</v>
      </c>
      <c r="BP101" s="21">
        <f t="shared" si="83"/>
        <v>369991821</v>
      </c>
      <c r="BQ101" s="21">
        <f t="shared" si="83"/>
        <v>100000000</v>
      </c>
      <c r="BR101" s="21">
        <f t="shared" si="83"/>
        <v>0</v>
      </c>
      <c r="BS101" s="21">
        <f t="shared" si="83"/>
        <v>0</v>
      </c>
      <c r="BT101" s="21">
        <f t="shared" si="83"/>
        <v>154630269</v>
      </c>
      <c r="BU101" s="21">
        <f t="shared" si="83"/>
        <v>0</v>
      </c>
      <c r="BV101" s="21">
        <f t="shared" si="83"/>
        <v>0</v>
      </c>
      <c r="BW101" s="21">
        <f t="shared" si="83"/>
        <v>0</v>
      </c>
      <c r="BX101" s="21">
        <f t="shared" si="84"/>
        <v>0</v>
      </c>
      <c r="BY101" s="21">
        <f t="shared" si="84"/>
        <v>390978551</v>
      </c>
      <c r="BZ101" s="21">
        <f t="shared" si="84"/>
        <v>0</v>
      </c>
      <c r="CA101" s="21">
        <f t="shared" si="84"/>
        <v>0</v>
      </c>
      <c r="CB101" s="21">
        <f t="shared" si="84"/>
        <v>0</v>
      </c>
      <c r="CC101" s="21">
        <f t="shared" si="84"/>
        <v>77846638</v>
      </c>
      <c r="CD101" s="21">
        <f t="shared" si="84"/>
        <v>38899496</v>
      </c>
      <c r="CE101" s="23">
        <f t="shared" si="56"/>
        <v>0.12039574171409405</v>
      </c>
      <c r="CF101" s="21">
        <f t="shared" si="45"/>
        <v>383668274</v>
      </c>
      <c r="CG101" s="21"/>
      <c r="CH101" s="21"/>
      <c r="CI101" s="21"/>
      <c r="CJ101" s="21">
        <f>+'[1]Acuerdo PLAN INVERSIÓN 2021'!$M$6883</f>
        <v>334123055</v>
      </c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>
        <f>+'[1]Acuerdo PLAN INVERSIÓN 2021'!$X$6883</f>
        <v>13021449</v>
      </c>
      <c r="CY101" s="21"/>
      <c r="CZ101" s="21"/>
      <c r="DA101" s="21"/>
      <c r="DB101" s="21"/>
      <c r="DC101" s="21">
        <f>+'[1]Acuerdo PLAN INVERSIÓN 2021'!$AF$6883</f>
        <v>36523770</v>
      </c>
      <c r="DD101" s="23">
        <f t="shared" si="57"/>
        <v>0.87960425828590594</v>
      </c>
      <c r="DE101" s="21">
        <f t="shared" si="85"/>
        <v>2803058005</v>
      </c>
      <c r="DF101" s="21">
        <f t="shared" si="86"/>
        <v>0</v>
      </c>
      <c r="DG101" s="21">
        <f t="shared" si="86"/>
        <v>44011594</v>
      </c>
      <c r="DH101" s="21">
        <f t="shared" si="86"/>
        <v>0</v>
      </c>
      <c r="DI101" s="21">
        <f t="shared" si="86"/>
        <v>1626699636</v>
      </c>
      <c r="DJ101" s="21">
        <f t="shared" si="86"/>
        <v>0</v>
      </c>
      <c r="DK101" s="21">
        <f t="shared" si="86"/>
        <v>0</v>
      </c>
      <c r="DL101" s="21">
        <f t="shared" si="86"/>
        <v>0</v>
      </c>
      <c r="DM101" s="21">
        <f t="shared" si="86"/>
        <v>0</v>
      </c>
      <c r="DN101" s="21">
        <f t="shared" si="86"/>
        <v>369991821</v>
      </c>
      <c r="DO101" s="21">
        <f t="shared" si="86"/>
        <v>100000000</v>
      </c>
      <c r="DP101" s="21">
        <f t="shared" si="86"/>
        <v>0</v>
      </c>
      <c r="DQ101" s="21">
        <f t="shared" si="86"/>
        <v>0</v>
      </c>
      <c r="DR101" s="21">
        <f t="shared" si="86"/>
        <v>154630269</v>
      </c>
      <c r="DS101" s="21">
        <f t="shared" si="86"/>
        <v>0</v>
      </c>
      <c r="DT101" s="21">
        <f t="shared" si="86"/>
        <v>0</v>
      </c>
      <c r="DU101" s="21">
        <f t="shared" si="86"/>
        <v>0</v>
      </c>
      <c r="DV101" s="21">
        <f t="shared" si="87"/>
        <v>0</v>
      </c>
      <c r="DW101" s="21">
        <f t="shared" si="87"/>
        <v>390978551</v>
      </c>
      <c r="DX101" s="21">
        <f t="shared" si="87"/>
        <v>0</v>
      </c>
      <c r="DY101" s="21">
        <f t="shared" si="87"/>
        <v>0</v>
      </c>
      <c r="DZ101" s="21">
        <f t="shared" si="87"/>
        <v>0</v>
      </c>
      <c r="EA101" s="21">
        <f t="shared" si="87"/>
        <v>77846638</v>
      </c>
      <c r="EB101" s="21">
        <f t="shared" si="87"/>
        <v>38899496</v>
      </c>
      <c r="ED101" s="27">
        <f t="shared" si="58"/>
        <v>3186726279</v>
      </c>
      <c r="EE101" s="27">
        <f t="shared" si="60"/>
        <v>3186726279</v>
      </c>
      <c r="EF101" s="27">
        <f t="shared" si="61"/>
        <v>3186726279</v>
      </c>
    </row>
    <row r="102" spans="1:136" s="64" customFormat="1" ht="24" customHeight="1" x14ac:dyDescent="0.3">
      <c r="A102" s="167"/>
      <c r="B102" s="168"/>
      <c r="C102" s="44" t="s">
        <v>299</v>
      </c>
      <c r="D102" s="29" t="s">
        <v>300</v>
      </c>
      <c r="E102" s="62">
        <v>111</v>
      </c>
      <c r="F102" s="20" t="s">
        <v>243</v>
      </c>
      <c r="G102" s="21">
        <f t="shared" si="82"/>
        <v>727408031</v>
      </c>
      <c r="H102" s="22">
        <v>300000000</v>
      </c>
      <c r="I102" s="22">
        <f t="shared" si="88"/>
        <v>-427408031</v>
      </c>
      <c r="J102" s="41"/>
      <c r="K102" s="21">
        <v>19660000</v>
      </c>
      <c r="L102" s="21"/>
      <c r="M102" s="21">
        <f>110000000+346362801</f>
        <v>456362801</v>
      </c>
      <c r="N102" s="21"/>
      <c r="O102" s="21"/>
      <c r="P102" s="21"/>
      <c r="Q102" s="21"/>
      <c r="R102" s="21"/>
      <c r="S102" s="21"/>
      <c r="T102" s="21">
        <v>251385230</v>
      </c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3">
        <f t="shared" si="55"/>
        <v>0.19729648819343321</v>
      </c>
      <c r="AH102" s="21">
        <f t="shared" si="41"/>
        <v>143515050</v>
      </c>
      <c r="AI102" s="63"/>
      <c r="AJ102" s="63"/>
      <c r="AK102" s="63"/>
      <c r="AL102" s="63">
        <f>+'[1]Acuerdo PLAN INVERSIÓN 2021'!$M$6936</f>
        <v>143515050</v>
      </c>
      <c r="AM102" s="63"/>
      <c r="AN102" s="63"/>
      <c r="AO102" s="63"/>
      <c r="AP102" s="63"/>
      <c r="AQ102" s="63"/>
      <c r="AR102" s="63"/>
      <c r="AS102" s="63"/>
      <c r="AT102" s="63"/>
      <c r="AU102" s="63"/>
      <c r="AV102" s="63"/>
      <c r="AW102" s="63"/>
      <c r="AX102" s="63"/>
      <c r="AY102" s="63"/>
      <c r="AZ102" s="63"/>
      <c r="BA102" s="63"/>
      <c r="BB102" s="63"/>
      <c r="BC102" s="63"/>
      <c r="BD102" s="63"/>
      <c r="BE102" s="63"/>
      <c r="BF102" s="23">
        <f t="shared" si="59"/>
        <v>0.80270351180656685</v>
      </c>
      <c r="BG102" s="21">
        <f t="shared" si="68"/>
        <v>583892981</v>
      </c>
      <c r="BH102" s="21">
        <f t="shared" si="83"/>
        <v>0</v>
      </c>
      <c r="BI102" s="21">
        <f t="shared" si="83"/>
        <v>19660000</v>
      </c>
      <c r="BJ102" s="21">
        <f t="shared" si="83"/>
        <v>0</v>
      </c>
      <c r="BK102" s="21">
        <f t="shared" si="83"/>
        <v>312847751</v>
      </c>
      <c r="BL102" s="21">
        <f t="shared" si="83"/>
        <v>0</v>
      </c>
      <c r="BM102" s="21">
        <f t="shared" si="83"/>
        <v>0</v>
      </c>
      <c r="BN102" s="21">
        <f t="shared" si="83"/>
        <v>0</v>
      </c>
      <c r="BO102" s="21">
        <f t="shared" si="83"/>
        <v>0</v>
      </c>
      <c r="BP102" s="21">
        <f t="shared" si="83"/>
        <v>0</v>
      </c>
      <c r="BQ102" s="21">
        <f t="shared" si="83"/>
        <v>0</v>
      </c>
      <c r="BR102" s="21">
        <f t="shared" si="83"/>
        <v>251385230</v>
      </c>
      <c r="BS102" s="21">
        <f t="shared" si="83"/>
        <v>0</v>
      </c>
      <c r="BT102" s="21">
        <f t="shared" si="83"/>
        <v>0</v>
      </c>
      <c r="BU102" s="21">
        <f t="shared" si="83"/>
        <v>0</v>
      </c>
      <c r="BV102" s="21">
        <f t="shared" si="83"/>
        <v>0</v>
      </c>
      <c r="BW102" s="21">
        <f t="shared" si="83"/>
        <v>0</v>
      </c>
      <c r="BX102" s="21">
        <f t="shared" si="84"/>
        <v>0</v>
      </c>
      <c r="BY102" s="21">
        <f t="shared" si="84"/>
        <v>0</v>
      </c>
      <c r="BZ102" s="21">
        <f t="shared" si="84"/>
        <v>0</v>
      </c>
      <c r="CA102" s="21">
        <f t="shared" si="84"/>
        <v>0</v>
      </c>
      <c r="CB102" s="21">
        <f t="shared" si="84"/>
        <v>0</v>
      </c>
      <c r="CC102" s="21">
        <f t="shared" si="84"/>
        <v>0</v>
      </c>
      <c r="CD102" s="21">
        <f t="shared" si="84"/>
        <v>0</v>
      </c>
      <c r="CE102" s="23">
        <f t="shared" si="56"/>
        <v>0.19729648819343321</v>
      </c>
      <c r="CF102" s="21">
        <f t="shared" si="45"/>
        <v>143515050</v>
      </c>
      <c r="CG102" s="63"/>
      <c r="CH102" s="63"/>
      <c r="CI102" s="63"/>
      <c r="CJ102" s="63">
        <f>+'[5]Acuerdo PLAN INVERSIÓN 2021'!$H$6600</f>
        <v>143515050</v>
      </c>
      <c r="CK102" s="63"/>
      <c r="CL102" s="63"/>
      <c r="CM102" s="63"/>
      <c r="CN102" s="63"/>
      <c r="CO102" s="63"/>
      <c r="CP102" s="63"/>
      <c r="CQ102" s="63"/>
      <c r="CR102" s="63"/>
      <c r="CS102" s="63"/>
      <c r="CT102" s="63"/>
      <c r="CU102" s="63"/>
      <c r="CV102" s="63"/>
      <c r="CW102" s="63"/>
      <c r="CX102" s="63"/>
      <c r="CY102" s="63"/>
      <c r="CZ102" s="63"/>
      <c r="DA102" s="63"/>
      <c r="DB102" s="63"/>
      <c r="DC102" s="63"/>
      <c r="DD102" s="23">
        <f t="shared" si="57"/>
        <v>0.80270351180656685</v>
      </c>
      <c r="DE102" s="21">
        <f t="shared" si="85"/>
        <v>583892981</v>
      </c>
      <c r="DF102" s="21">
        <f t="shared" si="86"/>
        <v>0</v>
      </c>
      <c r="DG102" s="21">
        <f t="shared" si="86"/>
        <v>19660000</v>
      </c>
      <c r="DH102" s="21">
        <f t="shared" si="86"/>
        <v>0</v>
      </c>
      <c r="DI102" s="21">
        <f t="shared" si="86"/>
        <v>312847751</v>
      </c>
      <c r="DJ102" s="21">
        <f t="shared" si="86"/>
        <v>0</v>
      </c>
      <c r="DK102" s="21">
        <f t="shared" si="86"/>
        <v>0</v>
      </c>
      <c r="DL102" s="21">
        <f t="shared" si="86"/>
        <v>0</v>
      </c>
      <c r="DM102" s="21">
        <f t="shared" si="86"/>
        <v>0</v>
      </c>
      <c r="DN102" s="21">
        <f t="shared" si="86"/>
        <v>0</v>
      </c>
      <c r="DO102" s="21">
        <f t="shared" si="86"/>
        <v>0</v>
      </c>
      <c r="DP102" s="21">
        <f t="shared" si="86"/>
        <v>251385230</v>
      </c>
      <c r="DQ102" s="21">
        <f t="shared" si="86"/>
        <v>0</v>
      </c>
      <c r="DR102" s="21">
        <f t="shared" si="86"/>
        <v>0</v>
      </c>
      <c r="DS102" s="21">
        <f t="shared" si="86"/>
        <v>0</v>
      </c>
      <c r="DT102" s="21">
        <f t="shared" si="86"/>
        <v>0</v>
      </c>
      <c r="DU102" s="21">
        <f t="shared" si="86"/>
        <v>0</v>
      </c>
      <c r="DV102" s="21">
        <f t="shared" si="87"/>
        <v>0</v>
      </c>
      <c r="DW102" s="21">
        <f t="shared" si="87"/>
        <v>0</v>
      </c>
      <c r="DX102" s="21">
        <f t="shared" si="87"/>
        <v>0</v>
      </c>
      <c r="DY102" s="21">
        <f t="shared" si="87"/>
        <v>0</v>
      </c>
      <c r="DZ102" s="21">
        <f t="shared" si="87"/>
        <v>0</v>
      </c>
      <c r="EA102" s="21">
        <f t="shared" si="87"/>
        <v>0</v>
      </c>
      <c r="EB102" s="21">
        <f t="shared" si="87"/>
        <v>0</v>
      </c>
      <c r="ED102" s="27">
        <f t="shared" si="58"/>
        <v>727408031</v>
      </c>
      <c r="EE102" s="27">
        <f t="shared" si="60"/>
        <v>727408031</v>
      </c>
      <c r="EF102" s="27">
        <f t="shared" si="61"/>
        <v>727408031</v>
      </c>
    </row>
    <row r="103" spans="1:136" ht="36" customHeight="1" x14ac:dyDescent="0.3">
      <c r="A103" s="167"/>
      <c r="B103" s="168" t="s">
        <v>301</v>
      </c>
      <c r="C103" s="44" t="s">
        <v>302</v>
      </c>
      <c r="D103" s="18" t="s">
        <v>303</v>
      </c>
      <c r="E103" s="61">
        <v>211</v>
      </c>
      <c r="F103" s="20" t="s">
        <v>304</v>
      </c>
      <c r="G103" s="21">
        <f t="shared" si="82"/>
        <v>1526755245</v>
      </c>
      <c r="H103" s="22">
        <v>1200000000</v>
      </c>
      <c r="I103" s="22">
        <f t="shared" si="88"/>
        <v>-326755245</v>
      </c>
      <c r="J103" s="21"/>
      <c r="K103" s="21">
        <f>50000000</f>
        <v>50000000</v>
      </c>
      <c r="L103" s="21"/>
      <c r="M103" s="65">
        <f>27498356+721081879</f>
        <v>748580235</v>
      </c>
      <c r="N103" s="21"/>
      <c r="O103" s="21"/>
      <c r="P103" s="21"/>
      <c r="Q103" s="21">
        <f>65000000+50000000</f>
        <v>115000000</v>
      </c>
      <c r="R103" s="21"/>
      <c r="S103" s="21">
        <f>61385230+85161559</f>
        <v>146546789</v>
      </c>
      <c r="T103" s="21">
        <v>70000000</v>
      </c>
      <c r="U103" s="21">
        <v>266250</v>
      </c>
      <c r="V103" s="21"/>
      <c r="W103" s="21">
        <v>76223671</v>
      </c>
      <c r="X103" s="21">
        <v>10997954</v>
      </c>
      <c r="Y103" s="21"/>
      <c r="Z103" s="21"/>
      <c r="AA103" s="21">
        <v>56600000</v>
      </c>
      <c r="AB103" s="21"/>
      <c r="AC103" s="21"/>
      <c r="AD103" s="21"/>
      <c r="AE103" s="21">
        <f>954549+36000000+10000000</f>
        <v>46954549</v>
      </c>
      <c r="AF103" s="21">
        <f>110000000+70591405+4994392+20000000</f>
        <v>205585797</v>
      </c>
      <c r="AG103" s="23">
        <f t="shared" si="55"/>
        <v>8.8187675425342976E-2</v>
      </c>
      <c r="AH103" s="21">
        <f t="shared" si="41"/>
        <v>134640996</v>
      </c>
      <c r="AI103" s="21"/>
      <c r="AJ103" s="21"/>
      <c r="AK103" s="21"/>
      <c r="AL103" s="21">
        <f>+'[1]Acuerdo PLAN INVERSIÓN 2021'!$M$6951</f>
        <v>65673720</v>
      </c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>
        <f>+'[1]Acuerdo PLAN INVERSIÓN 2021'!$AE$6951</f>
        <v>44817066</v>
      </c>
      <c r="BE103" s="63">
        <f>+'[1]Acuerdo PLAN INVERSIÓN 2021'!$AF$6951</f>
        <v>24150210</v>
      </c>
      <c r="BF103" s="23">
        <f t="shared" si="59"/>
        <v>0.911812324574657</v>
      </c>
      <c r="BG103" s="21">
        <f t="shared" si="68"/>
        <v>1392114249</v>
      </c>
      <c r="BH103" s="21">
        <f t="shared" si="83"/>
        <v>0</v>
      </c>
      <c r="BI103" s="21">
        <f t="shared" si="83"/>
        <v>50000000</v>
      </c>
      <c r="BJ103" s="21">
        <f t="shared" si="83"/>
        <v>0</v>
      </c>
      <c r="BK103" s="21">
        <f t="shared" si="83"/>
        <v>682906515</v>
      </c>
      <c r="BL103" s="21">
        <f t="shared" si="83"/>
        <v>0</v>
      </c>
      <c r="BM103" s="21">
        <f t="shared" si="83"/>
        <v>0</v>
      </c>
      <c r="BN103" s="21">
        <f t="shared" si="83"/>
        <v>0</v>
      </c>
      <c r="BO103" s="21">
        <f t="shared" si="83"/>
        <v>115000000</v>
      </c>
      <c r="BP103" s="21">
        <f t="shared" si="83"/>
        <v>0</v>
      </c>
      <c r="BQ103" s="21">
        <f t="shared" si="83"/>
        <v>146546789</v>
      </c>
      <c r="BR103" s="21">
        <f t="shared" si="83"/>
        <v>70000000</v>
      </c>
      <c r="BS103" s="21">
        <f t="shared" si="83"/>
        <v>266250</v>
      </c>
      <c r="BT103" s="21">
        <f t="shared" si="83"/>
        <v>0</v>
      </c>
      <c r="BU103" s="21">
        <f t="shared" si="83"/>
        <v>76223671</v>
      </c>
      <c r="BV103" s="21">
        <f t="shared" si="83"/>
        <v>10997954</v>
      </c>
      <c r="BW103" s="21">
        <f t="shared" si="83"/>
        <v>0</v>
      </c>
      <c r="BX103" s="21">
        <f t="shared" si="84"/>
        <v>0</v>
      </c>
      <c r="BY103" s="21">
        <f t="shared" si="84"/>
        <v>56600000</v>
      </c>
      <c r="BZ103" s="21">
        <f t="shared" si="84"/>
        <v>0</v>
      </c>
      <c r="CA103" s="21">
        <f t="shared" si="84"/>
        <v>0</v>
      </c>
      <c r="CB103" s="21">
        <f t="shared" si="84"/>
        <v>0</v>
      </c>
      <c r="CC103" s="21">
        <f t="shared" si="84"/>
        <v>2137483</v>
      </c>
      <c r="CD103" s="21">
        <f t="shared" si="84"/>
        <v>181435587</v>
      </c>
      <c r="CE103" s="23">
        <f t="shared" si="56"/>
        <v>8.8187675425342976E-2</v>
      </c>
      <c r="CF103" s="21">
        <f t="shared" si="45"/>
        <v>134640996</v>
      </c>
      <c r="CG103" s="21"/>
      <c r="CH103" s="21"/>
      <c r="CI103" s="21"/>
      <c r="CJ103" s="21">
        <f>+'[1]Acuerdo PLAN INVERSIÓN 2021'!$M$6951</f>
        <v>65673720</v>
      </c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>
        <f>+'[1]Acuerdo PLAN INVERSIÓN 2021'!$AE$6951</f>
        <v>44817066</v>
      </c>
      <c r="DC103" s="63">
        <f>+'[1]Acuerdo PLAN INVERSIÓN 2021'!$AF$6951</f>
        <v>24150210</v>
      </c>
      <c r="DD103" s="23">
        <f t="shared" si="57"/>
        <v>0.911812324574657</v>
      </c>
      <c r="DE103" s="21">
        <f t="shared" si="85"/>
        <v>1392114249</v>
      </c>
      <c r="DF103" s="21">
        <f t="shared" si="86"/>
        <v>0</v>
      </c>
      <c r="DG103" s="21">
        <f t="shared" si="86"/>
        <v>50000000</v>
      </c>
      <c r="DH103" s="21">
        <f t="shared" si="86"/>
        <v>0</v>
      </c>
      <c r="DI103" s="21">
        <f t="shared" si="86"/>
        <v>682906515</v>
      </c>
      <c r="DJ103" s="21">
        <f t="shared" si="86"/>
        <v>0</v>
      </c>
      <c r="DK103" s="21">
        <f t="shared" si="86"/>
        <v>0</v>
      </c>
      <c r="DL103" s="21">
        <f t="shared" si="86"/>
        <v>0</v>
      </c>
      <c r="DM103" s="21">
        <f t="shared" si="86"/>
        <v>115000000</v>
      </c>
      <c r="DN103" s="21">
        <f t="shared" si="86"/>
        <v>0</v>
      </c>
      <c r="DO103" s="21">
        <f t="shared" si="86"/>
        <v>146546789</v>
      </c>
      <c r="DP103" s="21">
        <f t="shared" si="86"/>
        <v>70000000</v>
      </c>
      <c r="DQ103" s="21">
        <f t="shared" si="86"/>
        <v>266250</v>
      </c>
      <c r="DR103" s="21">
        <f t="shared" si="86"/>
        <v>0</v>
      </c>
      <c r="DS103" s="21">
        <f t="shared" si="86"/>
        <v>76223671</v>
      </c>
      <c r="DT103" s="21">
        <f t="shared" si="86"/>
        <v>10997954</v>
      </c>
      <c r="DU103" s="21">
        <f t="shared" si="86"/>
        <v>0</v>
      </c>
      <c r="DV103" s="21">
        <f t="shared" si="87"/>
        <v>0</v>
      </c>
      <c r="DW103" s="21">
        <f t="shared" si="87"/>
        <v>56600000</v>
      </c>
      <c r="DX103" s="21">
        <f t="shared" si="87"/>
        <v>0</v>
      </c>
      <c r="DY103" s="21">
        <f t="shared" si="87"/>
        <v>0</v>
      </c>
      <c r="DZ103" s="21">
        <f t="shared" si="87"/>
        <v>0</v>
      </c>
      <c r="EA103" s="21">
        <f t="shared" si="87"/>
        <v>2137483</v>
      </c>
      <c r="EB103" s="21">
        <f t="shared" si="87"/>
        <v>181435587</v>
      </c>
      <c r="ED103" s="27">
        <f t="shared" si="58"/>
        <v>1526755245</v>
      </c>
      <c r="EE103" s="27">
        <f t="shared" si="60"/>
        <v>1526755245</v>
      </c>
      <c r="EF103" s="27">
        <f t="shared" si="61"/>
        <v>1526755245</v>
      </c>
    </row>
    <row r="104" spans="1:136" ht="43.5" customHeight="1" x14ac:dyDescent="0.3">
      <c r="A104" s="167"/>
      <c r="B104" s="168"/>
      <c r="C104" s="44" t="s">
        <v>305</v>
      </c>
      <c r="D104" s="18" t="s">
        <v>306</v>
      </c>
      <c r="E104" s="61">
        <v>211</v>
      </c>
      <c r="F104" s="20" t="s">
        <v>307</v>
      </c>
      <c r="G104" s="21">
        <f t="shared" si="82"/>
        <v>177162497</v>
      </c>
      <c r="H104" s="22">
        <v>600000000</v>
      </c>
      <c r="I104" s="22">
        <f t="shared" si="88"/>
        <v>422837503</v>
      </c>
      <c r="J104" s="41"/>
      <c r="K104" s="21">
        <f>92303390+30000000</f>
        <v>122303390</v>
      </c>
      <c r="L104" s="21"/>
      <c r="M104" s="21">
        <f>35810000</f>
        <v>35810000</v>
      </c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>
        <f>11000000+1249107+6800000</f>
        <v>19049107</v>
      </c>
      <c r="AG104" s="23">
        <f t="shared" si="55"/>
        <v>5.7680943614155537E-2</v>
      </c>
      <c r="AH104" s="21">
        <f t="shared" si="41"/>
        <v>10218900</v>
      </c>
      <c r="AI104" s="21"/>
      <c r="AJ104" s="21"/>
      <c r="AK104" s="21"/>
      <c r="AL104" s="21">
        <f>+'[1]Acuerdo PLAN INVERSIÓN 2021'!$M$7027</f>
        <v>3570000</v>
      </c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>
        <f>+'[1]Acuerdo PLAN INVERSIÓN 2021'!$AF$7027</f>
        <v>6648900</v>
      </c>
      <c r="BF104" s="23">
        <f t="shared" si="59"/>
        <v>0.94231905638584446</v>
      </c>
      <c r="BG104" s="21">
        <f t="shared" si="68"/>
        <v>166943597</v>
      </c>
      <c r="BH104" s="21">
        <f t="shared" si="83"/>
        <v>0</v>
      </c>
      <c r="BI104" s="21">
        <f t="shared" si="83"/>
        <v>122303390</v>
      </c>
      <c r="BJ104" s="21">
        <f t="shared" si="83"/>
        <v>0</v>
      </c>
      <c r="BK104" s="21">
        <f t="shared" si="83"/>
        <v>32240000</v>
      </c>
      <c r="BL104" s="21">
        <f t="shared" si="83"/>
        <v>0</v>
      </c>
      <c r="BM104" s="21">
        <f t="shared" si="83"/>
        <v>0</v>
      </c>
      <c r="BN104" s="21">
        <f t="shared" si="83"/>
        <v>0</v>
      </c>
      <c r="BO104" s="21">
        <f t="shared" si="83"/>
        <v>0</v>
      </c>
      <c r="BP104" s="21">
        <f t="shared" si="83"/>
        <v>0</v>
      </c>
      <c r="BQ104" s="21">
        <f t="shared" si="83"/>
        <v>0</v>
      </c>
      <c r="BR104" s="21">
        <f t="shared" si="83"/>
        <v>0</v>
      </c>
      <c r="BS104" s="21">
        <f t="shared" si="83"/>
        <v>0</v>
      </c>
      <c r="BT104" s="21">
        <f t="shared" si="83"/>
        <v>0</v>
      </c>
      <c r="BU104" s="21">
        <f t="shared" si="83"/>
        <v>0</v>
      </c>
      <c r="BV104" s="21">
        <f t="shared" si="83"/>
        <v>0</v>
      </c>
      <c r="BW104" s="21">
        <f t="shared" si="83"/>
        <v>0</v>
      </c>
      <c r="BX104" s="21">
        <f t="shared" si="84"/>
        <v>0</v>
      </c>
      <c r="BY104" s="21">
        <f t="shared" si="84"/>
        <v>0</v>
      </c>
      <c r="BZ104" s="21">
        <f t="shared" si="84"/>
        <v>0</v>
      </c>
      <c r="CA104" s="21">
        <f t="shared" si="84"/>
        <v>0</v>
      </c>
      <c r="CB104" s="21">
        <f t="shared" si="84"/>
        <v>0</v>
      </c>
      <c r="CC104" s="21">
        <f t="shared" si="84"/>
        <v>0</v>
      </c>
      <c r="CD104" s="21">
        <f t="shared" si="84"/>
        <v>12400207</v>
      </c>
      <c r="CE104" s="23">
        <f t="shared" si="56"/>
        <v>5.7680943614155537E-2</v>
      </c>
      <c r="CF104" s="21">
        <f t="shared" si="45"/>
        <v>10218900</v>
      </c>
      <c r="CG104" s="21"/>
      <c r="CH104" s="21"/>
      <c r="CI104" s="21"/>
      <c r="CJ104" s="21">
        <f>+'[1]Acuerdo PLAN INVERSIÓN 2021'!$M$7027</f>
        <v>3570000</v>
      </c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>
        <f>+'[1]Acuerdo PLAN INVERSIÓN 2021'!$AF$7027</f>
        <v>6648900</v>
      </c>
      <c r="DD104" s="23">
        <f t="shared" si="57"/>
        <v>0.94231905638584446</v>
      </c>
      <c r="DE104" s="21">
        <f t="shared" si="85"/>
        <v>166943597</v>
      </c>
      <c r="DF104" s="21">
        <f t="shared" si="86"/>
        <v>0</v>
      </c>
      <c r="DG104" s="21">
        <f t="shared" si="86"/>
        <v>122303390</v>
      </c>
      <c r="DH104" s="21">
        <f t="shared" si="86"/>
        <v>0</v>
      </c>
      <c r="DI104" s="21">
        <f t="shared" si="86"/>
        <v>32240000</v>
      </c>
      <c r="DJ104" s="21">
        <f t="shared" si="86"/>
        <v>0</v>
      </c>
      <c r="DK104" s="21">
        <f t="shared" si="86"/>
        <v>0</v>
      </c>
      <c r="DL104" s="21">
        <f t="shared" si="86"/>
        <v>0</v>
      </c>
      <c r="DM104" s="21">
        <f t="shared" si="86"/>
        <v>0</v>
      </c>
      <c r="DN104" s="21">
        <f t="shared" si="86"/>
        <v>0</v>
      </c>
      <c r="DO104" s="21">
        <f t="shared" si="86"/>
        <v>0</v>
      </c>
      <c r="DP104" s="21">
        <f t="shared" si="86"/>
        <v>0</v>
      </c>
      <c r="DQ104" s="21">
        <f t="shared" si="86"/>
        <v>0</v>
      </c>
      <c r="DR104" s="21">
        <f t="shared" si="86"/>
        <v>0</v>
      </c>
      <c r="DS104" s="21">
        <f t="shared" si="86"/>
        <v>0</v>
      </c>
      <c r="DT104" s="21">
        <f t="shared" si="86"/>
        <v>0</v>
      </c>
      <c r="DU104" s="21">
        <f t="shared" si="86"/>
        <v>0</v>
      </c>
      <c r="DV104" s="21">
        <f t="shared" si="87"/>
        <v>0</v>
      </c>
      <c r="DW104" s="21">
        <f t="shared" si="87"/>
        <v>0</v>
      </c>
      <c r="DX104" s="21">
        <f t="shared" si="87"/>
        <v>0</v>
      </c>
      <c r="DY104" s="21">
        <f t="shared" si="87"/>
        <v>0</v>
      </c>
      <c r="DZ104" s="21">
        <f t="shared" si="87"/>
        <v>0</v>
      </c>
      <c r="EA104" s="21">
        <f t="shared" si="87"/>
        <v>0</v>
      </c>
      <c r="EB104" s="21">
        <f t="shared" si="87"/>
        <v>12400207</v>
      </c>
      <c r="ED104" s="27">
        <f t="shared" si="58"/>
        <v>177162497</v>
      </c>
      <c r="EE104" s="27">
        <f t="shared" si="60"/>
        <v>177162497</v>
      </c>
      <c r="EF104" s="27">
        <f t="shared" si="61"/>
        <v>177162497</v>
      </c>
    </row>
    <row r="105" spans="1:136" ht="30" customHeight="1" x14ac:dyDescent="0.3">
      <c r="A105" s="167"/>
      <c r="B105" s="168"/>
      <c r="C105" s="44" t="s">
        <v>308</v>
      </c>
      <c r="D105" s="18" t="s">
        <v>309</v>
      </c>
      <c r="E105" s="61">
        <v>211</v>
      </c>
      <c r="F105" s="20" t="s">
        <v>243</v>
      </c>
      <c r="G105" s="21">
        <f t="shared" si="82"/>
        <v>537612538</v>
      </c>
      <c r="H105" s="22">
        <v>300000000</v>
      </c>
      <c r="I105" s="22">
        <f t="shared" si="88"/>
        <v>-237612538</v>
      </c>
      <c r="J105" s="41"/>
      <c r="K105" s="21"/>
      <c r="L105" s="21"/>
      <c r="M105" s="21">
        <v>137412037</v>
      </c>
      <c r="N105" s="21"/>
      <c r="O105" s="21"/>
      <c r="P105" s="21"/>
      <c r="Q105" s="21"/>
      <c r="R105" s="21"/>
      <c r="S105" s="21"/>
      <c r="T105" s="21"/>
      <c r="U105" s="21">
        <f>10000000+300000000-35031397</f>
        <v>274968603</v>
      </c>
      <c r="V105" s="21"/>
      <c r="W105" s="21"/>
      <c r="X105" s="21"/>
      <c r="Y105" s="21"/>
      <c r="Z105" s="21"/>
      <c r="AA105" s="21"/>
      <c r="AB105" s="21"/>
      <c r="AC105" s="21">
        <f>124281898</f>
        <v>124281898</v>
      </c>
      <c r="AD105" s="21"/>
      <c r="AE105" s="21"/>
      <c r="AF105" s="21">
        <f>950000</f>
        <v>950000</v>
      </c>
      <c r="AG105" s="23">
        <f t="shared" si="55"/>
        <v>0.11178410984157516</v>
      </c>
      <c r="AH105" s="21">
        <f t="shared" si="41"/>
        <v>60096539</v>
      </c>
      <c r="AI105" s="21"/>
      <c r="AJ105" s="21"/>
      <c r="AK105" s="21"/>
      <c r="AL105" s="21">
        <f>+'[1]Acuerdo PLAN INVERSIÓN 2021'!$M$7044</f>
        <v>10132850</v>
      </c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>
        <f>+'[8]Acuerdo PLAN INVERSIÓN 2021'!$AB$5742</f>
        <v>49963689</v>
      </c>
      <c r="BC105" s="21"/>
      <c r="BD105" s="21"/>
      <c r="BE105" s="21"/>
      <c r="BF105" s="23">
        <f t="shared" si="59"/>
        <v>0.88821589015842484</v>
      </c>
      <c r="BG105" s="21">
        <f t="shared" si="68"/>
        <v>477515999</v>
      </c>
      <c r="BH105" s="21">
        <f t="shared" si="83"/>
        <v>0</v>
      </c>
      <c r="BI105" s="21">
        <f t="shared" si="83"/>
        <v>0</v>
      </c>
      <c r="BJ105" s="21">
        <f t="shared" si="83"/>
        <v>0</v>
      </c>
      <c r="BK105" s="21">
        <f t="shared" si="83"/>
        <v>127279187</v>
      </c>
      <c r="BL105" s="21">
        <f t="shared" si="83"/>
        <v>0</v>
      </c>
      <c r="BM105" s="21">
        <f t="shared" si="83"/>
        <v>0</v>
      </c>
      <c r="BN105" s="21">
        <f t="shared" si="83"/>
        <v>0</v>
      </c>
      <c r="BO105" s="21">
        <f t="shared" si="83"/>
        <v>0</v>
      </c>
      <c r="BP105" s="21">
        <f t="shared" si="83"/>
        <v>0</v>
      </c>
      <c r="BQ105" s="21">
        <f t="shared" si="83"/>
        <v>0</v>
      </c>
      <c r="BR105" s="21">
        <f t="shared" si="83"/>
        <v>0</v>
      </c>
      <c r="BS105" s="21">
        <f t="shared" si="83"/>
        <v>274968603</v>
      </c>
      <c r="BT105" s="21">
        <f t="shared" si="83"/>
        <v>0</v>
      </c>
      <c r="BU105" s="21">
        <f t="shared" si="83"/>
        <v>0</v>
      </c>
      <c r="BV105" s="21">
        <f t="shared" si="83"/>
        <v>0</v>
      </c>
      <c r="BW105" s="21">
        <f t="shared" si="83"/>
        <v>0</v>
      </c>
      <c r="BX105" s="21">
        <f t="shared" si="84"/>
        <v>0</v>
      </c>
      <c r="BY105" s="21">
        <f t="shared" si="84"/>
        <v>0</v>
      </c>
      <c r="BZ105" s="21">
        <f t="shared" si="84"/>
        <v>0</v>
      </c>
      <c r="CA105" s="21">
        <f t="shared" si="84"/>
        <v>74318209</v>
      </c>
      <c r="CB105" s="21">
        <f t="shared" si="84"/>
        <v>0</v>
      </c>
      <c r="CC105" s="21">
        <f t="shared" si="84"/>
        <v>0</v>
      </c>
      <c r="CD105" s="21">
        <f t="shared" si="84"/>
        <v>950000</v>
      </c>
      <c r="CE105" s="23">
        <f t="shared" si="56"/>
        <v>0.11178410984157516</v>
      </c>
      <c r="CF105" s="21">
        <f t="shared" si="45"/>
        <v>60096539</v>
      </c>
      <c r="CG105" s="21"/>
      <c r="CH105" s="21"/>
      <c r="CI105" s="21"/>
      <c r="CJ105" s="21">
        <f>+'[1]Acuerdo PLAN INVERSIÓN 2021'!$M$7044</f>
        <v>10132850</v>
      </c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>
        <f>+'[8]Acuerdo PLAN INVERSIÓN 2021'!$AB$5742</f>
        <v>49963689</v>
      </c>
      <c r="DA105" s="21"/>
      <c r="DB105" s="21"/>
      <c r="DC105" s="21"/>
      <c r="DD105" s="23">
        <f t="shared" si="57"/>
        <v>0.88821589015842484</v>
      </c>
      <c r="DE105" s="21">
        <f t="shared" si="85"/>
        <v>477515999</v>
      </c>
      <c r="DF105" s="21">
        <f t="shared" si="86"/>
        <v>0</v>
      </c>
      <c r="DG105" s="21">
        <f t="shared" si="86"/>
        <v>0</v>
      </c>
      <c r="DH105" s="21">
        <f t="shared" si="86"/>
        <v>0</v>
      </c>
      <c r="DI105" s="21">
        <f t="shared" si="86"/>
        <v>127279187</v>
      </c>
      <c r="DJ105" s="21">
        <f t="shared" si="86"/>
        <v>0</v>
      </c>
      <c r="DK105" s="21">
        <f t="shared" si="86"/>
        <v>0</v>
      </c>
      <c r="DL105" s="21">
        <f t="shared" si="86"/>
        <v>0</v>
      </c>
      <c r="DM105" s="21">
        <f t="shared" si="86"/>
        <v>0</v>
      </c>
      <c r="DN105" s="21">
        <f t="shared" si="86"/>
        <v>0</v>
      </c>
      <c r="DO105" s="21">
        <f t="shared" si="86"/>
        <v>0</v>
      </c>
      <c r="DP105" s="21">
        <f t="shared" si="86"/>
        <v>0</v>
      </c>
      <c r="DQ105" s="21">
        <f t="shared" si="86"/>
        <v>274968603</v>
      </c>
      <c r="DR105" s="21">
        <f t="shared" si="86"/>
        <v>0</v>
      </c>
      <c r="DS105" s="21">
        <f t="shared" si="86"/>
        <v>0</v>
      </c>
      <c r="DT105" s="21">
        <f t="shared" si="86"/>
        <v>0</v>
      </c>
      <c r="DU105" s="21">
        <f t="shared" si="86"/>
        <v>0</v>
      </c>
      <c r="DV105" s="21">
        <f t="shared" si="87"/>
        <v>0</v>
      </c>
      <c r="DW105" s="21">
        <f t="shared" si="87"/>
        <v>0</v>
      </c>
      <c r="DX105" s="21">
        <f t="shared" si="87"/>
        <v>0</v>
      </c>
      <c r="DY105" s="21">
        <f t="shared" si="87"/>
        <v>74318209</v>
      </c>
      <c r="DZ105" s="21">
        <f t="shared" si="87"/>
        <v>0</v>
      </c>
      <c r="EA105" s="21">
        <f t="shared" si="87"/>
        <v>0</v>
      </c>
      <c r="EB105" s="21">
        <f t="shared" si="87"/>
        <v>950000</v>
      </c>
      <c r="ED105" s="27">
        <f t="shared" si="58"/>
        <v>537612538</v>
      </c>
      <c r="EE105" s="27">
        <f t="shared" si="60"/>
        <v>537612538</v>
      </c>
      <c r="EF105" s="27">
        <f t="shared" si="61"/>
        <v>537612538</v>
      </c>
    </row>
    <row r="106" spans="1:136" ht="28.2" customHeight="1" x14ac:dyDescent="0.3">
      <c r="A106" s="48"/>
      <c r="B106" s="168"/>
      <c r="C106" s="44" t="s">
        <v>310</v>
      </c>
      <c r="D106" s="18" t="s">
        <v>311</v>
      </c>
      <c r="E106" s="61">
        <v>211</v>
      </c>
      <c r="F106" s="20" t="s">
        <v>243</v>
      </c>
      <c r="G106" s="21">
        <f t="shared" si="82"/>
        <v>2783401112</v>
      </c>
      <c r="H106" s="22">
        <v>1500000000</v>
      </c>
      <c r="I106" s="22">
        <f t="shared" si="88"/>
        <v>-1283401112</v>
      </c>
      <c r="J106" s="21"/>
      <c r="K106" s="21"/>
      <c r="L106" s="21"/>
      <c r="M106" s="21">
        <f>10128485+2676241230</f>
        <v>2686369715</v>
      </c>
      <c r="N106" s="21"/>
      <c r="O106" s="21"/>
      <c r="P106" s="21"/>
      <c r="Q106" s="21">
        <f>100000000-65000000</f>
        <v>35000000</v>
      </c>
      <c r="R106" s="21"/>
      <c r="S106" s="21"/>
      <c r="T106" s="21"/>
      <c r="U106" s="21">
        <f>20000000+35031397</f>
        <v>55031397</v>
      </c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>
        <f>7000000</f>
        <v>7000000</v>
      </c>
      <c r="AG106" s="23">
        <f t="shared" si="55"/>
        <v>0.42028008538066575</v>
      </c>
      <c r="AH106" s="21">
        <f t="shared" si="41"/>
        <v>1169808057</v>
      </c>
      <c r="AI106" s="21"/>
      <c r="AJ106" s="21"/>
      <c r="AK106" s="21"/>
      <c r="AL106" s="21">
        <f>+'[1]Acuerdo PLAN INVERSIÓN 2021'!$M$7070</f>
        <v>1073529050</v>
      </c>
      <c r="AM106" s="21"/>
      <c r="AN106" s="21"/>
      <c r="AO106" s="21"/>
      <c r="AP106" s="21">
        <f>+'[1]Acuerdo PLAN INVERSIÓN 2021'!$S$7070</f>
        <v>35000000</v>
      </c>
      <c r="AQ106" s="21"/>
      <c r="AR106" s="21"/>
      <c r="AS106" s="21"/>
      <c r="AT106" s="21">
        <f>+'[3]Acuerdo PLAN INVERSIÓN 2021'!$O$4807</f>
        <v>54980000</v>
      </c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>
        <f>+'[1]Acuerdo PLAN INVERSIÓN 2021'!$AF$7070</f>
        <v>6299007</v>
      </c>
      <c r="BF106" s="23">
        <f t="shared" si="59"/>
        <v>0.57971991461933425</v>
      </c>
      <c r="BG106" s="21">
        <f t="shared" si="68"/>
        <v>1613593055</v>
      </c>
      <c r="BH106" s="21">
        <f t="shared" si="83"/>
        <v>0</v>
      </c>
      <c r="BI106" s="21">
        <f t="shared" si="83"/>
        <v>0</v>
      </c>
      <c r="BJ106" s="21">
        <f t="shared" si="83"/>
        <v>0</v>
      </c>
      <c r="BK106" s="21">
        <f t="shared" si="83"/>
        <v>1612840665</v>
      </c>
      <c r="BL106" s="21">
        <f t="shared" si="83"/>
        <v>0</v>
      </c>
      <c r="BM106" s="21">
        <f t="shared" si="83"/>
        <v>0</v>
      </c>
      <c r="BN106" s="21">
        <f t="shared" si="83"/>
        <v>0</v>
      </c>
      <c r="BO106" s="21">
        <f t="shared" si="83"/>
        <v>0</v>
      </c>
      <c r="BP106" s="21">
        <f t="shared" si="83"/>
        <v>0</v>
      </c>
      <c r="BQ106" s="21">
        <f t="shared" si="83"/>
        <v>0</v>
      </c>
      <c r="BR106" s="21">
        <f t="shared" si="83"/>
        <v>0</v>
      </c>
      <c r="BS106" s="21">
        <f t="shared" si="83"/>
        <v>51397</v>
      </c>
      <c r="BT106" s="21">
        <f t="shared" si="83"/>
        <v>0</v>
      </c>
      <c r="BU106" s="21">
        <f t="shared" si="83"/>
        <v>0</v>
      </c>
      <c r="BV106" s="21">
        <f t="shared" si="83"/>
        <v>0</v>
      </c>
      <c r="BW106" s="21">
        <f t="shared" si="83"/>
        <v>0</v>
      </c>
      <c r="BX106" s="21">
        <f t="shared" si="84"/>
        <v>0</v>
      </c>
      <c r="BY106" s="21">
        <f t="shared" si="84"/>
        <v>0</v>
      </c>
      <c r="BZ106" s="21">
        <f t="shared" si="84"/>
        <v>0</v>
      </c>
      <c r="CA106" s="21">
        <f t="shared" si="84"/>
        <v>0</v>
      </c>
      <c r="CB106" s="21">
        <f t="shared" si="84"/>
        <v>0</v>
      </c>
      <c r="CC106" s="21">
        <f t="shared" si="84"/>
        <v>0</v>
      </c>
      <c r="CD106" s="21">
        <f t="shared" si="84"/>
        <v>700993</v>
      </c>
      <c r="CE106" s="23">
        <f t="shared" si="56"/>
        <v>0.42028008538066575</v>
      </c>
      <c r="CF106" s="21">
        <f t="shared" si="45"/>
        <v>1169808057</v>
      </c>
      <c r="CG106" s="21"/>
      <c r="CH106" s="21"/>
      <c r="CI106" s="21"/>
      <c r="CJ106" s="21">
        <f>+'[1]Acuerdo PLAN INVERSIÓN 2021'!$M$7070</f>
        <v>1073529050</v>
      </c>
      <c r="CK106" s="21"/>
      <c r="CL106" s="21"/>
      <c r="CM106" s="21"/>
      <c r="CN106" s="21">
        <f>+'[1]Acuerdo PLAN INVERSIÓN 2021'!$S$7070</f>
        <v>35000000</v>
      </c>
      <c r="CO106" s="21"/>
      <c r="CP106" s="21"/>
      <c r="CQ106" s="21"/>
      <c r="CR106" s="21">
        <f>+'[3]Acuerdo PLAN INVERSIÓN 2021'!$O$4807</f>
        <v>54980000</v>
      </c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>
        <f>+'[1]Acuerdo PLAN INVERSIÓN 2021'!$AF$7070</f>
        <v>6299007</v>
      </c>
      <c r="DD106" s="23">
        <f t="shared" si="57"/>
        <v>0.57971991461933425</v>
      </c>
      <c r="DE106" s="21">
        <f t="shared" si="85"/>
        <v>1613593055</v>
      </c>
      <c r="DF106" s="21">
        <f t="shared" si="86"/>
        <v>0</v>
      </c>
      <c r="DG106" s="21">
        <f t="shared" si="86"/>
        <v>0</v>
      </c>
      <c r="DH106" s="21">
        <f t="shared" si="86"/>
        <v>0</v>
      </c>
      <c r="DI106" s="21">
        <f t="shared" si="86"/>
        <v>1612840665</v>
      </c>
      <c r="DJ106" s="21">
        <f t="shared" si="86"/>
        <v>0</v>
      </c>
      <c r="DK106" s="21">
        <f t="shared" si="86"/>
        <v>0</v>
      </c>
      <c r="DL106" s="21">
        <f t="shared" si="86"/>
        <v>0</v>
      </c>
      <c r="DM106" s="21">
        <f t="shared" si="86"/>
        <v>0</v>
      </c>
      <c r="DN106" s="21">
        <f t="shared" si="86"/>
        <v>0</v>
      </c>
      <c r="DO106" s="21">
        <f t="shared" si="86"/>
        <v>0</v>
      </c>
      <c r="DP106" s="21">
        <f t="shared" si="86"/>
        <v>0</v>
      </c>
      <c r="DQ106" s="21">
        <f t="shared" si="86"/>
        <v>51397</v>
      </c>
      <c r="DR106" s="21">
        <f t="shared" si="86"/>
        <v>0</v>
      </c>
      <c r="DS106" s="21">
        <f t="shared" si="86"/>
        <v>0</v>
      </c>
      <c r="DT106" s="21">
        <f t="shared" si="86"/>
        <v>0</v>
      </c>
      <c r="DU106" s="21">
        <f t="shared" si="86"/>
        <v>0</v>
      </c>
      <c r="DV106" s="21">
        <f t="shared" si="87"/>
        <v>0</v>
      </c>
      <c r="DW106" s="21">
        <f t="shared" si="87"/>
        <v>0</v>
      </c>
      <c r="DX106" s="21">
        <f t="shared" si="87"/>
        <v>0</v>
      </c>
      <c r="DY106" s="21">
        <f t="shared" si="87"/>
        <v>0</v>
      </c>
      <c r="DZ106" s="21">
        <f t="shared" si="87"/>
        <v>0</v>
      </c>
      <c r="EA106" s="21">
        <f t="shared" si="87"/>
        <v>0</v>
      </c>
      <c r="EB106" s="21">
        <f t="shared" si="87"/>
        <v>700993</v>
      </c>
      <c r="ED106" s="27">
        <f t="shared" si="58"/>
        <v>2783401112</v>
      </c>
      <c r="EE106" s="27">
        <f t="shared" si="60"/>
        <v>2783401112</v>
      </c>
      <c r="EF106" s="27">
        <f t="shared" si="61"/>
        <v>2783401112</v>
      </c>
    </row>
    <row r="107" spans="1:136" ht="30" customHeight="1" x14ac:dyDescent="0.3">
      <c r="A107" s="48"/>
      <c r="B107" s="168"/>
      <c r="C107" s="44" t="s">
        <v>312</v>
      </c>
      <c r="D107" s="18" t="s">
        <v>313</v>
      </c>
      <c r="E107" s="61">
        <v>211</v>
      </c>
      <c r="F107" s="20" t="s">
        <v>243</v>
      </c>
      <c r="G107" s="21">
        <f t="shared" si="82"/>
        <v>299954928</v>
      </c>
      <c r="H107" s="22">
        <v>340000000</v>
      </c>
      <c r="I107" s="22">
        <f t="shared" si="88"/>
        <v>40045072</v>
      </c>
      <c r="J107" s="41"/>
      <c r="K107" s="21">
        <f>43951027+30000000</f>
        <v>73951027</v>
      </c>
      <c r="L107" s="21"/>
      <c r="M107" s="21">
        <f>27680700+178323201</f>
        <v>206003901</v>
      </c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>
        <f>20000000</f>
        <v>20000000</v>
      </c>
      <c r="AG107" s="23">
        <f t="shared" si="55"/>
        <v>0.35344783866994844</v>
      </c>
      <c r="AH107" s="21">
        <f t="shared" si="41"/>
        <v>106018421</v>
      </c>
      <c r="AI107" s="21"/>
      <c r="AJ107" s="21"/>
      <c r="AK107" s="21"/>
      <c r="AL107" s="21">
        <f>+'[1]Acuerdo PLAN INVERSIÓN 2021'!$M$7128</f>
        <v>87868744</v>
      </c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>
        <f>+'[1]Acuerdo PLAN INVERSIÓN 2021'!$AF$7128</f>
        <v>18149677</v>
      </c>
      <c r="BF107" s="23">
        <f t="shared" si="59"/>
        <v>0.64655216133005156</v>
      </c>
      <c r="BG107" s="21">
        <f t="shared" si="68"/>
        <v>193936507</v>
      </c>
      <c r="BH107" s="21">
        <f t="shared" si="83"/>
        <v>0</v>
      </c>
      <c r="BI107" s="21">
        <f t="shared" si="83"/>
        <v>73951027</v>
      </c>
      <c r="BJ107" s="21">
        <f t="shared" si="83"/>
        <v>0</v>
      </c>
      <c r="BK107" s="21">
        <f t="shared" si="83"/>
        <v>118135157</v>
      </c>
      <c r="BL107" s="21">
        <f t="shared" si="83"/>
        <v>0</v>
      </c>
      <c r="BM107" s="21">
        <f t="shared" si="83"/>
        <v>0</v>
      </c>
      <c r="BN107" s="21">
        <f t="shared" si="83"/>
        <v>0</v>
      </c>
      <c r="BO107" s="21">
        <f t="shared" si="83"/>
        <v>0</v>
      </c>
      <c r="BP107" s="21">
        <f t="shared" si="83"/>
        <v>0</v>
      </c>
      <c r="BQ107" s="21">
        <f t="shared" si="83"/>
        <v>0</v>
      </c>
      <c r="BR107" s="21">
        <f t="shared" si="83"/>
        <v>0</v>
      </c>
      <c r="BS107" s="21">
        <f t="shared" si="83"/>
        <v>0</v>
      </c>
      <c r="BT107" s="21">
        <f t="shared" si="83"/>
        <v>0</v>
      </c>
      <c r="BU107" s="21">
        <f t="shared" si="83"/>
        <v>0</v>
      </c>
      <c r="BV107" s="21">
        <f t="shared" si="83"/>
        <v>0</v>
      </c>
      <c r="BW107" s="21">
        <f t="shared" si="83"/>
        <v>0</v>
      </c>
      <c r="BX107" s="21">
        <f t="shared" si="84"/>
        <v>0</v>
      </c>
      <c r="BY107" s="21">
        <f t="shared" si="84"/>
        <v>0</v>
      </c>
      <c r="BZ107" s="21">
        <f t="shared" si="84"/>
        <v>0</v>
      </c>
      <c r="CA107" s="21">
        <f t="shared" si="84"/>
        <v>0</v>
      </c>
      <c r="CB107" s="21">
        <f t="shared" si="84"/>
        <v>0</v>
      </c>
      <c r="CC107" s="21">
        <f t="shared" si="84"/>
        <v>0</v>
      </c>
      <c r="CD107" s="21">
        <f t="shared" si="84"/>
        <v>1850323</v>
      </c>
      <c r="CE107" s="23">
        <f t="shared" si="56"/>
        <v>0.35344783866994844</v>
      </c>
      <c r="CF107" s="21">
        <f t="shared" si="45"/>
        <v>106018421</v>
      </c>
      <c r="CG107" s="21"/>
      <c r="CH107" s="21"/>
      <c r="CI107" s="21"/>
      <c r="CJ107" s="21">
        <f>+'[1]Acuerdo PLAN INVERSIÓN 2021'!$M$7128</f>
        <v>87868744</v>
      </c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>
        <f>+'[1]Acuerdo PLAN INVERSIÓN 2021'!$AF$7128</f>
        <v>18149677</v>
      </c>
      <c r="DD107" s="23">
        <f t="shared" si="57"/>
        <v>0.64655216133005156</v>
      </c>
      <c r="DE107" s="21">
        <f t="shared" si="85"/>
        <v>193936507</v>
      </c>
      <c r="DF107" s="21">
        <f t="shared" si="86"/>
        <v>0</v>
      </c>
      <c r="DG107" s="21">
        <f t="shared" si="86"/>
        <v>73951027</v>
      </c>
      <c r="DH107" s="21">
        <f t="shared" si="86"/>
        <v>0</v>
      </c>
      <c r="DI107" s="21">
        <f t="shared" si="86"/>
        <v>118135157</v>
      </c>
      <c r="DJ107" s="21">
        <f t="shared" si="86"/>
        <v>0</v>
      </c>
      <c r="DK107" s="21">
        <f t="shared" si="86"/>
        <v>0</v>
      </c>
      <c r="DL107" s="21">
        <f t="shared" si="86"/>
        <v>0</v>
      </c>
      <c r="DM107" s="21">
        <f t="shared" si="86"/>
        <v>0</v>
      </c>
      <c r="DN107" s="21">
        <f t="shared" si="86"/>
        <v>0</v>
      </c>
      <c r="DO107" s="21">
        <f t="shared" si="86"/>
        <v>0</v>
      </c>
      <c r="DP107" s="21">
        <f t="shared" si="86"/>
        <v>0</v>
      </c>
      <c r="DQ107" s="21">
        <f t="shared" si="86"/>
        <v>0</v>
      </c>
      <c r="DR107" s="21">
        <f t="shared" si="86"/>
        <v>0</v>
      </c>
      <c r="DS107" s="21">
        <f t="shared" si="86"/>
        <v>0</v>
      </c>
      <c r="DT107" s="21">
        <f t="shared" si="86"/>
        <v>0</v>
      </c>
      <c r="DU107" s="21">
        <f t="shared" si="86"/>
        <v>0</v>
      </c>
      <c r="DV107" s="21">
        <f t="shared" si="87"/>
        <v>0</v>
      </c>
      <c r="DW107" s="21">
        <f t="shared" si="87"/>
        <v>0</v>
      </c>
      <c r="DX107" s="21">
        <f t="shared" si="87"/>
        <v>0</v>
      </c>
      <c r="DY107" s="21">
        <f t="shared" si="87"/>
        <v>0</v>
      </c>
      <c r="DZ107" s="21">
        <f t="shared" si="87"/>
        <v>0</v>
      </c>
      <c r="EA107" s="21">
        <f t="shared" si="87"/>
        <v>0</v>
      </c>
      <c r="EB107" s="21">
        <f t="shared" si="87"/>
        <v>1850323</v>
      </c>
      <c r="ED107" s="27">
        <f t="shared" si="58"/>
        <v>299954928</v>
      </c>
      <c r="EE107" s="27">
        <f t="shared" si="60"/>
        <v>299954928</v>
      </c>
      <c r="EF107" s="27">
        <f t="shared" si="61"/>
        <v>299954928</v>
      </c>
    </row>
    <row r="108" spans="1:136" ht="30.6" customHeight="1" x14ac:dyDescent="0.3">
      <c r="A108" s="167" t="s">
        <v>314</v>
      </c>
      <c r="B108" s="168"/>
      <c r="C108" s="44" t="s">
        <v>315</v>
      </c>
      <c r="D108" s="18" t="s">
        <v>316</v>
      </c>
      <c r="E108" s="61">
        <v>211</v>
      </c>
      <c r="F108" s="20" t="s">
        <v>243</v>
      </c>
      <c r="G108" s="21">
        <f t="shared" si="82"/>
        <v>519100131</v>
      </c>
      <c r="H108" s="22">
        <v>270000000</v>
      </c>
      <c r="I108" s="22">
        <f t="shared" si="88"/>
        <v>-249100131</v>
      </c>
      <c r="J108" s="21"/>
      <c r="K108" s="21"/>
      <c r="L108" s="21"/>
      <c r="M108" s="21">
        <f>972070+498128061</f>
        <v>499100131</v>
      </c>
      <c r="N108" s="21"/>
      <c r="O108" s="21"/>
      <c r="P108" s="21"/>
      <c r="Q108" s="21">
        <f>50000000-50000000</f>
        <v>0</v>
      </c>
      <c r="R108" s="21"/>
      <c r="S108" s="21"/>
      <c r="T108" s="21"/>
      <c r="U108" s="21">
        <v>20000000</v>
      </c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3">
        <f t="shared" si="55"/>
        <v>0.47160304607975528</v>
      </c>
      <c r="AH108" s="21">
        <f t="shared" si="41"/>
        <v>244809203</v>
      </c>
      <c r="AI108" s="21"/>
      <c r="AJ108" s="21"/>
      <c r="AK108" s="21"/>
      <c r="AL108" s="21">
        <f>+'[1]Acuerdo PLAN INVERSIÓN 2021'!$M$7166</f>
        <v>244809203</v>
      </c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3">
        <f t="shared" si="59"/>
        <v>0.52839695392024466</v>
      </c>
      <c r="BG108" s="21">
        <f t="shared" si="68"/>
        <v>274290928</v>
      </c>
      <c r="BH108" s="21">
        <f t="shared" si="83"/>
        <v>0</v>
      </c>
      <c r="BI108" s="21">
        <f t="shared" si="83"/>
        <v>0</v>
      </c>
      <c r="BJ108" s="21">
        <f t="shared" si="83"/>
        <v>0</v>
      </c>
      <c r="BK108" s="21">
        <f t="shared" si="83"/>
        <v>254290928</v>
      </c>
      <c r="BL108" s="21">
        <f t="shared" si="83"/>
        <v>0</v>
      </c>
      <c r="BM108" s="21">
        <f t="shared" si="83"/>
        <v>0</v>
      </c>
      <c r="BN108" s="21">
        <f t="shared" si="83"/>
        <v>0</v>
      </c>
      <c r="BO108" s="21">
        <f t="shared" si="83"/>
        <v>0</v>
      </c>
      <c r="BP108" s="21">
        <f t="shared" si="83"/>
        <v>0</v>
      </c>
      <c r="BQ108" s="21">
        <f t="shared" si="83"/>
        <v>0</v>
      </c>
      <c r="BR108" s="21">
        <f t="shared" si="83"/>
        <v>0</v>
      </c>
      <c r="BS108" s="21">
        <f t="shared" si="83"/>
        <v>20000000</v>
      </c>
      <c r="BT108" s="21">
        <f t="shared" si="83"/>
        <v>0</v>
      </c>
      <c r="BU108" s="21">
        <f t="shared" si="83"/>
        <v>0</v>
      </c>
      <c r="BV108" s="21">
        <f t="shared" si="83"/>
        <v>0</v>
      </c>
      <c r="BW108" s="21">
        <f t="shared" si="83"/>
        <v>0</v>
      </c>
      <c r="BX108" s="21">
        <f t="shared" si="84"/>
        <v>0</v>
      </c>
      <c r="BY108" s="21">
        <f t="shared" si="84"/>
        <v>0</v>
      </c>
      <c r="BZ108" s="21">
        <f t="shared" si="84"/>
        <v>0</v>
      </c>
      <c r="CA108" s="21">
        <f t="shared" si="84"/>
        <v>0</v>
      </c>
      <c r="CB108" s="21">
        <f t="shared" si="84"/>
        <v>0</v>
      </c>
      <c r="CC108" s="21">
        <f t="shared" si="84"/>
        <v>0</v>
      </c>
      <c r="CD108" s="21">
        <f t="shared" si="84"/>
        <v>0</v>
      </c>
      <c r="CE108" s="23">
        <f t="shared" si="56"/>
        <v>0.47160304607975528</v>
      </c>
      <c r="CF108" s="21">
        <f t="shared" si="45"/>
        <v>244809203</v>
      </c>
      <c r="CG108" s="21"/>
      <c r="CH108" s="21"/>
      <c r="CI108" s="21"/>
      <c r="CJ108" s="21">
        <f>+'[1]Acuerdo PLAN INVERSIÓN 2021'!$M$7166</f>
        <v>244809203</v>
      </c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3">
        <f t="shared" si="57"/>
        <v>0.52839695392024466</v>
      </c>
      <c r="DE108" s="21">
        <f t="shared" si="85"/>
        <v>274290928</v>
      </c>
      <c r="DF108" s="21">
        <f t="shared" si="86"/>
        <v>0</v>
      </c>
      <c r="DG108" s="21">
        <f t="shared" si="86"/>
        <v>0</v>
      </c>
      <c r="DH108" s="21">
        <f t="shared" si="86"/>
        <v>0</v>
      </c>
      <c r="DI108" s="21">
        <f t="shared" si="86"/>
        <v>254290928</v>
      </c>
      <c r="DJ108" s="21">
        <f t="shared" si="86"/>
        <v>0</v>
      </c>
      <c r="DK108" s="21">
        <f t="shared" si="86"/>
        <v>0</v>
      </c>
      <c r="DL108" s="21">
        <f t="shared" si="86"/>
        <v>0</v>
      </c>
      <c r="DM108" s="21">
        <f t="shared" si="86"/>
        <v>0</v>
      </c>
      <c r="DN108" s="21">
        <f t="shared" si="86"/>
        <v>0</v>
      </c>
      <c r="DO108" s="21">
        <f t="shared" si="86"/>
        <v>0</v>
      </c>
      <c r="DP108" s="21">
        <f t="shared" si="86"/>
        <v>0</v>
      </c>
      <c r="DQ108" s="21">
        <f t="shared" si="86"/>
        <v>20000000</v>
      </c>
      <c r="DR108" s="21">
        <f t="shared" si="86"/>
        <v>0</v>
      </c>
      <c r="DS108" s="21">
        <f t="shared" si="86"/>
        <v>0</v>
      </c>
      <c r="DT108" s="21">
        <f t="shared" si="86"/>
        <v>0</v>
      </c>
      <c r="DU108" s="21">
        <f t="shared" si="86"/>
        <v>0</v>
      </c>
      <c r="DV108" s="21">
        <f t="shared" si="87"/>
        <v>0</v>
      </c>
      <c r="DW108" s="21">
        <f t="shared" si="87"/>
        <v>0</v>
      </c>
      <c r="DX108" s="21">
        <f t="shared" si="87"/>
        <v>0</v>
      </c>
      <c r="DY108" s="21">
        <f t="shared" si="87"/>
        <v>0</v>
      </c>
      <c r="DZ108" s="21">
        <f t="shared" si="87"/>
        <v>0</v>
      </c>
      <c r="EA108" s="21">
        <f t="shared" si="87"/>
        <v>0</v>
      </c>
      <c r="EB108" s="21">
        <f t="shared" si="87"/>
        <v>0</v>
      </c>
      <c r="ED108" s="27">
        <f t="shared" si="58"/>
        <v>519100131</v>
      </c>
      <c r="EE108" s="27">
        <f t="shared" si="60"/>
        <v>519100131</v>
      </c>
      <c r="EF108" s="27">
        <f t="shared" si="61"/>
        <v>519100131</v>
      </c>
    </row>
    <row r="109" spans="1:136" ht="47.25" customHeight="1" x14ac:dyDescent="0.3">
      <c r="A109" s="167"/>
      <c r="B109" s="168"/>
      <c r="C109" s="44" t="s">
        <v>317</v>
      </c>
      <c r="D109" s="18" t="s">
        <v>318</v>
      </c>
      <c r="E109" s="61">
        <v>211</v>
      </c>
      <c r="F109" s="20" t="s">
        <v>319</v>
      </c>
      <c r="G109" s="21">
        <f t="shared" si="82"/>
        <v>459373195</v>
      </c>
      <c r="H109" s="22">
        <v>1955000000</v>
      </c>
      <c r="I109" s="22">
        <f t="shared" si="88"/>
        <v>1495626805</v>
      </c>
      <c r="J109" s="21">
        <v>228749467</v>
      </c>
      <c r="K109" s="21">
        <f>50000000-50000000</f>
        <v>0</v>
      </c>
      <c r="L109" s="21"/>
      <c r="M109" s="21">
        <v>32862151</v>
      </c>
      <c r="N109" s="21"/>
      <c r="O109" s="21"/>
      <c r="P109" s="21"/>
      <c r="Q109" s="21"/>
      <c r="R109" s="21"/>
      <c r="S109" s="21">
        <v>100000000</v>
      </c>
      <c r="T109" s="21"/>
      <c r="U109" s="21"/>
      <c r="V109" s="21"/>
      <c r="W109" s="21"/>
      <c r="X109" s="21"/>
      <c r="Y109" s="21"/>
      <c r="Z109" s="21"/>
      <c r="AA109" s="21">
        <v>56261577</v>
      </c>
      <c r="AB109" s="21"/>
      <c r="AC109" s="21"/>
      <c r="AD109" s="21"/>
      <c r="AE109" s="21"/>
      <c r="AF109" s="21">
        <f>40000000+20000000+1500000+10800000-20000000-10800000</f>
        <v>41500000</v>
      </c>
      <c r="AG109" s="23">
        <f t="shared" si="55"/>
        <v>4.6672292230721037E-2</v>
      </c>
      <c r="AH109" s="21">
        <f t="shared" si="41"/>
        <v>21440000</v>
      </c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>
        <f>+'[1]Acuerdo PLAN INVERSIÓN 2021'!$AF$7184</f>
        <v>21440000</v>
      </c>
      <c r="BF109" s="23">
        <f t="shared" si="59"/>
        <v>0.953327707769279</v>
      </c>
      <c r="BG109" s="21">
        <f t="shared" si="68"/>
        <v>437933195</v>
      </c>
      <c r="BH109" s="21">
        <f t="shared" si="83"/>
        <v>228749467</v>
      </c>
      <c r="BI109" s="21">
        <f t="shared" si="83"/>
        <v>0</v>
      </c>
      <c r="BJ109" s="21">
        <f t="shared" si="83"/>
        <v>0</v>
      </c>
      <c r="BK109" s="21">
        <f t="shared" si="83"/>
        <v>32862151</v>
      </c>
      <c r="BL109" s="21">
        <f t="shared" si="83"/>
        <v>0</v>
      </c>
      <c r="BM109" s="21">
        <f t="shared" si="83"/>
        <v>0</v>
      </c>
      <c r="BN109" s="21">
        <f t="shared" si="83"/>
        <v>0</v>
      </c>
      <c r="BO109" s="21">
        <f t="shared" si="83"/>
        <v>0</v>
      </c>
      <c r="BP109" s="21">
        <f t="shared" si="83"/>
        <v>0</v>
      </c>
      <c r="BQ109" s="21">
        <f t="shared" si="83"/>
        <v>100000000</v>
      </c>
      <c r="BR109" s="21">
        <f t="shared" si="83"/>
        <v>0</v>
      </c>
      <c r="BS109" s="21">
        <f t="shared" si="83"/>
        <v>0</v>
      </c>
      <c r="BT109" s="21">
        <f t="shared" si="83"/>
        <v>0</v>
      </c>
      <c r="BU109" s="21">
        <f t="shared" si="83"/>
        <v>0</v>
      </c>
      <c r="BV109" s="21">
        <f t="shared" si="83"/>
        <v>0</v>
      </c>
      <c r="BW109" s="21">
        <f t="shared" si="83"/>
        <v>0</v>
      </c>
      <c r="BX109" s="21">
        <f t="shared" si="84"/>
        <v>0</v>
      </c>
      <c r="BY109" s="21">
        <f t="shared" si="84"/>
        <v>56261577</v>
      </c>
      <c r="BZ109" s="21">
        <f t="shared" si="84"/>
        <v>0</v>
      </c>
      <c r="CA109" s="21">
        <f t="shared" si="84"/>
        <v>0</v>
      </c>
      <c r="CB109" s="21">
        <f t="shared" si="84"/>
        <v>0</v>
      </c>
      <c r="CC109" s="21">
        <f t="shared" si="84"/>
        <v>0</v>
      </c>
      <c r="CD109" s="21">
        <f t="shared" si="84"/>
        <v>20060000</v>
      </c>
      <c r="CE109" s="23">
        <f t="shared" si="56"/>
        <v>4.6672292230721037E-2</v>
      </c>
      <c r="CF109" s="21">
        <f t="shared" si="45"/>
        <v>21440000</v>
      </c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>
        <f>+'[1]Acuerdo PLAN INVERSIÓN 2021'!$AF$7184</f>
        <v>21440000</v>
      </c>
      <c r="DD109" s="23">
        <f t="shared" si="57"/>
        <v>0.953327707769279</v>
      </c>
      <c r="DE109" s="21">
        <f t="shared" si="85"/>
        <v>437933195</v>
      </c>
      <c r="DF109" s="21">
        <f t="shared" si="86"/>
        <v>228749467</v>
      </c>
      <c r="DG109" s="21">
        <f t="shared" si="86"/>
        <v>0</v>
      </c>
      <c r="DH109" s="21">
        <f t="shared" si="86"/>
        <v>0</v>
      </c>
      <c r="DI109" s="21">
        <f t="shared" si="86"/>
        <v>32862151</v>
      </c>
      <c r="DJ109" s="21">
        <f t="shared" si="86"/>
        <v>0</v>
      </c>
      <c r="DK109" s="21">
        <f t="shared" si="86"/>
        <v>0</v>
      </c>
      <c r="DL109" s="21">
        <f t="shared" si="86"/>
        <v>0</v>
      </c>
      <c r="DM109" s="21">
        <f t="shared" si="86"/>
        <v>0</v>
      </c>
      <c r="DN109" s="21">
        <f t="shared" si="86"/>
        <v>0</v>
      </c>
      <c r="DO109" s="21">
        <f t="shared" si="86"/>
        <v>100000000</v>
      </c>
      <c r="DP109" s="21">
        <f t="shared" si="86"/>
        <v>0</v>
      </c>
      <c r="DQ109" s="21">
        <f t="shared" si="86"/>
        <v>0</v>
      </c>
      <c r="DR109" s="21">
        <f t="shared" si="86"/>
        <v>0</v>
      </c>
      <c r="DS109" s="21">
        <f t="shared" si="86"/>
        <v>0</v>
      </c>
      <c r="DT109" s="21">
        <f t="shared" si="86"/>
        <v>0</v>
      </c>
      <c r="DU109" s="21">
        <f t="shared" si="86"/>
        <v>0</v>
      </c>
      <c r="DV109" s="21">
        <f t="shared" si="87"/>
        <v>0</v>
      </c>
      <c r="DW109" s="21">
        <f t="shared" si="87"/>
        <v>56261577</v>
      </c>
      <c r="DX109" s="21">
        <f t="shared" si="87"/>
        <v>0</v>
      </c>
      <c r="DY109" s="21">
        <f t="shared" si="87"/>
        <v>0</v>
      </c>
      <c r="DZ109" s="21">
        <f t="shared" si="87"/>
        <v>0</v>
      </c>
      <c r="EA109" s="21">
        <f t="shared" si="87"/>
        <v>0</v>
      </c>
      <c r="EB109" s="21">
        <f t="shared" si="87"/>
        <v>20060000</v>
      </c>
      <c r="ED109" s="27">
        <f t="shared" si="58"/>
        <v>459373195</v>
      </c>
      <c r="EE109" s="27">
        <f t="shared" si="60"/>
        <v>459373195</v>
      </c>
      <c r="EF109" s="27">
        <f t="shared" si="61"/>
        <v>459373195</v>
      </c>
    </row>
    <row r="110" spans="1:136" ht="20.399999999999999" customHeight="1" x14ac:dyDescent="0.3">
      <c r="A110" s="167"/>
      <c r="B110" s="168"/>
      <c r="C110" s="44" t="s">
        <v>320</v>
      </c>
      <c r="D110" s="18" t="s">
        <v>321</v>
      </c>
      <c r="E110" s="61">
        <v>211</v>
      </c>
      <c r="F110" s="20" t="s">
        <v>243</v>
      </c>
      <c r="G110" s="21">
        <f t="shared" si="82"/>
        <v>0</v>
      </c>
      <c r="H110" s="22">
        <v>100000000</v>
      </c>
      <c r="I110" s="22">
        <f t="shared" si="88"/>
        <v>100000000</v>
      </c>
      <c r="J110" s="4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3" t="e">
        <f t="shared" si="55"/>
        <v>#DIV/0!</v>
      </c>
      <c r="AH110" s="21">
        <f t="shared" si="41"/>
        <v>0</v>
      </c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3" t="e">
        <f t="shared" si="59"/>
        <v>#DIV/0!</v>
      </c>
      <c r="BG110" s="21">
        <f t="shared" si="68"/>
        <v>0</v>
      </c>
      <c r="BH110" s="21">
        <f t="shared" si="83"/>
        <v>0</v>
      </c>
      <c r="BI110" s="21">
        <f t="shared" si="83"/>
        <v>0</v>
      </c>
      <c r="BJ110" s="21">
        <f t="shared" si="83"/>
        <v>0</v>
      </c>
      <c r="BK110" s="21">
        <f t="shared" si="83"/>
        <v>0</v>
      </c>
      <c r="BL110" s="21">
        <f t="shared" si="83"/>
        <v>0</v>
      </c>
      <c r="BM110" s="21">
        <f t="shared" si="83"/>
        <v>0</v>
      </c>
      <c r="BN110" s="21">
        <f t="shared" si="83"/>
        <v>0</v>
      </c>
      <c r="BO110" s="21">
        <f t="shared" si="83"/>
        <v>0</v>
      </c>
      <c r="BP110" s="21">
        <f t="shared" si="83"/>
        <v>0</v>
      </c>
      <c r="BQ110" s="21">
        <f t="shared" si="83"/>
        <v>0</v>
      </c>
      <c r="BR110" s="21">
        <f t="shared" si="83"/>
        <v>0</v>
      </c>
      <c r="BS110" s="21">
        <f t="shared" si="83"/>
        <v>0</v>
      </c>
      <c r="BT110" s="21">
        <f t="shared" si="83"/>
        <v>0</v>
      </c>
      <c r="BU110" s="21">
        <f t="shared" si="83"/>
        <v>0</v>
      </c>
      <c r="BV110" s="21">
        <f t="shared" si="83"/>
        <v>0</v>
      </c>
      <c r="BW110" s="21">
        <f t="shared" si="83"/>
        <v>0</v>
      </c>
      <c r="BX110" s="21">
        <f t="shared" si="84"/>
        <v>0</v>
      </c>
      <c r="BY110" s="21">
        <f t="shared" si="84"/>
        <v>0</v>
      </c>
      <c r="BZ110" s="21">
        <f t="shared" si="84"/>
        <v>0</v>
      </c>
      <c r="CA110" s="21">
        <f t="shared" si="84"/>
        <v>0</v>
      </c>
      <c r="CB110" s="21">
        <f t="shared" si="84"/>
        <v>0</v>
      </c>
      <c r="CC110" s="21">
        <f t="shared" si="84"/>
        <v>0</v>
      </c>
      <c r="CD110" s="21">
        <f t="shared" si="84"/>
        <v>0</v>
      </c>
      <c r="CE110" s="23">
        <v>0</v>
      </c>
      <c r="CF110" s="21">
        <f t="shared" si="45"/>
        <v>0</v>
      </c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3">
        <f t="shared" si="57"/>
        <v>1</v>
      </c>
      <c r="DE110" s="21">
        <f t="shared" si="85"/>
        <v>0</v>
      </c>
      <c r="DF110" s="21">
        <f t="shared" si="86"/>
        <v>0</v>
      </c>
      <c r="DG110" s="21">
        <f t="shared" si="86"/>
        <v>0</v>
      </c>
      <c r="DH110" s="21">
        <f t="shared" si="86"/>
        <v>0</v>
      </c>
      <c r="DI110" s="21">
        <f t="shared" si="86"/>
        <v>0</v>
      </c>
      <c r="DJ110" s="21">
        <f t="shared" si="86"/>
        <v>0</v>
      </c>
      <c r="DK110" s="21">
        <f t="shared" si="86"/>
        <v>0</v>
      </c>
      <c r="DL110" s="21">
        <f t="shared" si="86"/>
        <v>0</v>
      </c>
      <c r="DM110" s="21">
        <f t="shared" si="86"/>
        <v>0</v>
      </c>
      <c r="DN110" s="21">
        <f t="shared" si="86"/>
        <v>0</v>
      </c>
      <c r="DO110" s="21">
        <f t="shared" si="86"/>
        <v>0</v>
      </c>
      <c r="DP110" s="21">
        <f t="shared" si="86"/>
        <v>0</v>
      </c>
      <c r="DQ110" s="21">
        <f t="shared" si="86"/>
        <v>0</v>
      </c>
      <c r="DR110" s="21">
        <f t="shared" si="86"/>
        <v>0</v>
      </c>
      <c r="DS110" s="21">
        <f t="shared" si="86"/>
        <v>0</v>
      </c>
      <c r="DT110" s="21">
        <f t="shared" si="86"/>
        <v>0</v>
      </c>
      <c r="DU110" s="21">
        <f t="shared" si="86"/>
        <v>0</v>
      </c>
      <c r="DV110" s="21">
        <f t="shared" si="87"/>
        <v>0</v>
      </c>
      <c r="DW110" s="21">
        <f t="shared" si="87"/>
        <v>0</v>
      </c>
      <c r="DX110" s="21">
        <f t="shared" si="87"/>
        <v>0</v>
      </c>
      <c r="DY110" s="21">
        <f t="shared" si="87"/>
        <v>0</v>
      </c>
      <c r="DZ110" s="21">
        <f t="shared" si="87"/>
        <v>0</v>
      </c>
      <c r="EA110" s="21">
        <f t="shared" si="87"/>
        <v>0</v>
      </c>
      <c r="EB110" s="21">
        <f t="shared" si="87"/>
        <v>0</v>
      </c>
      <c r="ED110" s="27">
        <f t="shared" si="58"/>
        <v>0</v>
      </c>
      <c r="EE110" s="27">
        <f t="shared" si="60"/>
        <v>0</v>
      </c>
      <c r="EF110" s="27">
        <f t="shared" si="61"/>
        <v>0</v>
      </c>
    </row>
    <row r="111" spans="1:136" ht="42.75" customHeight="1" x14ac:dyDescent="0.3">
      <c r="A111" s="167"/>
      <c r="B111" s="168"/>
      <c r="C111" s="44" t="s">
        <v>322</v>
      </c>
      <c r="D111" s="18" t="s">
        <v>323</v>
      </c>
      <c r="E111" s="61">
        <v>211</v>
      </c>
      <c r="F111" s="20" t="s">
        <v>324</v>
      </c>
      <c r="G111" s="21">
        <f t="shared" si="82"/>
        <v>230168649</v>
      </c>
      <c r="H111" s="22">
        <v>504000000</v>
      </c>
      <c r="I111" s="22">
        <f t="shared" si="88"/>
        <v>273831351</v>
      </c>
      <c r="J111" s="4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>
        <f>71771849+4999400+20000000+5000000+50000000+10800000+20000000+10000000+5000000+32597400</f>
        <v>230168649</v>
      </c>
      <c r="AG111" s="23">
        <f t="shared" si="55"/>
        <v>0.57989633071183377</v>
      </c>
      <c r="AH111" s="21">
        <f t="shared" si="41"/>
        <v>133473955</v>
      </c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>
        <f>+'[1]Acuerdo PLAN INVERSIÓN 2021'!$AF$7200</f>
        <v>133473955</v>
      </c>
      <c r="BF111" s="23">
        <f t="shared" si="59"/>
        <v>0.42010366928816623</v>
      </c>
      <c r="BG111" s="21">
        <f t="shared" si="68"/>
        <v>96694694</v>
      </c>
      <c r="BH111" s="21">
        <f t="shared" si="83"/>
        <v>0</v>
      </c>
      <c r="BI111" s="21">
        <f t="shared" si="83"/>
        <v>0</v>
      </c>
      <c r="BJ111" s="21">
        <f t="shared" si="83"/>
        <v>0</v>
      </c>
      <c r="BK111" s="21">
        <f t="shared" si="83"/>
        <v>0</v>
      </c>
      <c r="BL111" s="21">
        <f t="shared" si="83"/>
        <v>0</v>
      </c>
      <c r="BM111" s="21">
        <f t="shared" si="83"/>
        <v>0</v>
      </c>
      <c r="BN111" s="21">
        <f t="shared" si="83"/>
        <v>0</v>
      </c>
      <c r="BO111" s="21">
        <f t="shared" si="83"/>
        <v>0</v>
      </c>
      <c r="BP111" s="21">
        <f t="shared" si="83"/>
        <v>0</v>
      </c>
      <c r="BQ111" s="21">
        <f t="shared" si="83"/>
        <v>0</v>
      </c>
      <c r="BR111" s="21">
        <f t="shared" si="83"/>
        <v>0</v>
      </c>
      <c r="BS111" s="21">
        <f t="shared" si="83"/>
        <v>0</v>
      </c>
      <c r="BT111" s="21">
        <f t="shared" si="83"/>
        <v>0</v>
      </c>
      <c r="BU111" s="21">
        <f t="shared" si="83"/>
        <v>0</v>
      </c>
      <c r="BV111" s="21">
        <f t="shared" si="83"/>
        <v>0</v>
      </c>
      <c r="BW111" s="21">
        <f t="shared" si="83"/>
        <v>0</v>
      </c>
      <c r="BX111" s="21">
        <f t="shared" si="84"/>
        <v>0</v>
      </c>
      <c r="BY111" s="21">
        <f t="shared" si="84"/>
        <v>0</v>
      </c>
      <c r="BZ111" s="21">
        <f t="shared" si="84"/>
        <v>0</v>
      </c>
      <c r="CA111" s="21">
        <f t="shared" si="84"/>
        <v>0</v>
      </c>
      <c r="CB111" s="21">
        <f t="shared" si="84"/>
        <v>0</v>
      </c>
      <c r="CC111" s="21">
        <f t="shared" si="84"/>
        <v>0</v>
      </c>
      <c r="CD111" s="21">
        <f t="shared" si="84"/>
        <v>96694694</v>
      </c>
      <c r="CE111" s="23">
        <f t="shared" si="56"/>
        <v>0.57989633071183377</v>
      </c>
      <c r="CF111" s="21">
        <f t="shared" si="45"/>
        <v>133473955</v>
      </c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>
        <f>+'[1]Acuerdo PLAN INVERSIÓN 2021'!$H$7198</f>
        <v>133473955</v>
      </c>
      <c r="DD111" s="23">
        <f t="shared" si="57"/>
        <v>0.42010366928816623</v>
      </c>
      <c r="DE111" s="21">
        <f t="shared" si="85"/>
        <v>96694694</v>
      </c>
      <c r="DF111" s="21">
        <f t="shared" si="86"/>
        <v>0</v>
      </c>
      <c r="DG111" s="21">
        <f t="shared" si="86"/>
        <v>0</v>
      </c>
      <c r="DH111" s="21">
        <f t="shared" si="86"/>
        <v>0</v>
      </c>
      <c r="DI111" s="21">
        <f t="shared" si="86"/>
        <v>0</v>
      </c>
      <c r="DJ111" s="21">
        <f t="shared" si="86"/>
        <v>0</v>
      </c>
      <c r="DK111" s="21">
        <f t="shared" si="86"/>
        <v>0</v>
      </c>
      <c r="DL111" s="21">
        <f t="shared" si="86"/>
        <v>0</v>
      </c>
      <c r="DM111" s="21">
        <f t="shared" si="86"/>
        <v>0</v>
      </c>
      <c r="DN111" s="21">
        <f t="shared" si="86"/>
        <v>0</v>
      </c>
      <c r="DO111" s="21">
        <f t="shared" si="86"/>
        <v>0</v>
      </c>
      <c r="DP111" s="21">
        <f t="shared" si="86"/>
        <v>0</v>
      </c>
      <c r="DQ111" s="21">
        <f t="shared" si="86"/>
        <v>0</v>
      </c>
      <c r="DR111" s="21">
        <f t="shared" si="86"/>
        <v>0</v>
      </c>
      <c r="DS111" s="21">
        <f t="shared" si="86"/>
        <v>0</v>
      </c>
      <c r="DT111" s="21">
        <f t="shared" si="86"/>
        <v>0</v>
      </c>
      <c r="DU111" s="21">
        <f t="shared" si="86"/>
        <v>0</v>
      </c>
      <c r="DV111" s="21">
        <f t="shared" si="87"/>
        <v>0</v>
      </c>
      <c r="DW111" s="21">
        <f t="shared" si="87"/>
        <v>0</v>
      </c>
      <c r="DX111" s="21">
        <f t="shared" si="87"/>
        <v>0</v>
      </c>
      <c r="DY111" s="21">
        <f t="shared" si="87"/>
        <v>0</v>
      </c>
      <c r="DZ111" s="21">
        <f t="shared" si="87"/>
        <v>0</v>
      </c>
      <c r="EA111" s="21">
        <f t="shared" si="87"/>
        <v>0</v>
      </c>
      <c r="EB111" s="21">
        <f t="shared" si="87"/>
        <v>96694694</v>
      </c>
      <c r="ED111" s="27">
        <f t="shared" si="58"/>
        <v>230168649</v>
      </c>
      <c r="EE111" s="27">
        <f t="shared" si="60"/>
        <v>230168649</v>
      </c>
      <c r="EF111" s="27">
        <f t="shared" si="61"/>
        <v>230168649</v>
      </c>
    </row>
    <row r="112" spans="1:136" ht="25.2" customHeight="1" x14ac:dyDescent="0.3">
      <c r="A112" s="167"/>
      <c r="B112" s="168"/>
      <c r="C112" s="44" t="s">
        <v>325</v>
      </c>
      <c r="D112" s="18" t="s">
        <v>326</v>
      </c>
      <c r="E112" s="61">
        <v>211</v>
      </c>
      <c r="F112" s="20" t="s">
        <v>327</v>
      </c>
      <c r="G112" s="21">
        <f t="shared" si="82"/>
        <v>17171220</v>
      </c>
      <c r="H112" s="22">
        <v>252000000</v>
      </c>
      <c r="I112" s="22">
        <f t="shared" si="88"/>
        <v>234828780</v>
      </c>
      <c r="J112" s="4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>
        <f>6103602+11067618</f>
        <v>17171220</v>
      </c>
      <c r="AG112" s="23">
        <f t="shared" si="55"/>
        <v>0.35462768516156684</v>
      </c>
      <c r="AH112" s="21">
        <f t="shared" si="41"/>
        <v>6089390</v>
      </c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>
        <f>+'[1]Acuerdo PLAN INVERSIÓN 2021'!$AF$7247</f>
        <v>6089390</v>
      </c>
      <c r="BF112" s="23">
        <f t="shared" si="59"/>
        <v>0.64537231483843316</v>
      </c>
      <c r="BG112" s="21">
        <f t="shared" si="68"/>
        <v>11081830</v>
      </c>
      <c r="BH112" s="21">
        <f t="shared" si="83"/>
        <v>0</v>
      </c>
      <c r="BI112" s="21">
        <f t="shared" si="83"/>
        <v>0</v>
      </c>
      <c r="BJ112" s="21">
        <f t="shared" si="83"/>
        <v>0</v>
      </c>
      <c r="BK112" s="21">
        <f t="shared" si="83"/>
        <v>0</v>
      </c>
      <c r="BL112" s="21">
        <f t="shared" si="83"/>
        <v>0</v>
      </c>
      <c r="BM112" s="21">
        <f t="shared" si="83"/>
        <v>0</v>
      </c>
      <c r="BN112" s="21">
        <f t="shared" si="83"/>
        <v>0</v>
      </c>
      <c r="BO112" s="21">
        <f t="shared" si="83"/>
        <v>0</v>
      </c>
      <c r="BP112" s="21">
        <f t="shared" si="83"/>
        <v>0</v>
      </c>
      <c r="BQ112" s="21">
        <f t="shared" si="83"/>
        <v>0</v>
      </c>
      <c r="BR112" s="21">
        <f t="shared" si="83"/>
        <v>0</v>
      </c>
      <c r="BS112" s="21">
        <f t="shared" si="83"/>
        <v>0</v>
      </c>
      <c r="BT112" s="21">
        <f t="shared" si="83"/>
        <v>0</v>
      </c>
      <c r="BU112" s="21">
        <f t="shared" si="83"/>
        <v>0</v>
      </c>
      <c r="BV112" s="21">
        <f t="shared" si="83"/>
        <v>0</v>
      </c>
      <c r="BW112" s="21">
        <f t="shared" si="83"/>
        <v>0</v>
      </c>
      <c r="BX112" s="21">
        <f t="shared" si="84"/>
        <v>0</v>
      </c>
      <c r="BY112" s="21">
        <f t="shared" si="84"/>
        <v>0</v>
      </c>
      <c r="BZ112" s="21">
        <f t="shared" si="84"/>
        <v>0</v>
      </c>
      <c r="CA112" s="21">
        <f t="shared" si="84"/>
        <v>0</v>
      </c>
      <c r="CB112" s="21">
        <f t="shared" si="84"/>
        <v>0</v>
      </c>
      <c r="CC112" s="21">
        <f t="shared" si="84"/>
        <v>0</v>
      </c>
      <c r="CD112" s="21">
        <f t="shared" si="84"/>
        <v>11081830</v>
      </c>
      <c r="CE112" s="23">
        <f t="shared" si="56"/>
        <v>0.35462768516156684</v>
      </c>
      <c r="CF112" s="21">
        <f t="shared" si="45"/>
        <v>6089390</v>
      </c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>
        <f>+'[5]Acuerdo PLAN INVERSIÓN 2021'!$H$6849</f>
        <v>6089390</v>
      </c>
      <c r="DD112" s="23">
        <f t="shared" si="57"/>
        <v>0.64537231483843316</v>
      </c>
      <c r="DE112" s="21">
        <f t="shared" si="85"/>
        <v>11081830</v>
      </c>
      <c r="DF112" s="21">
        <f t="shared" si="86"/>
        <v>0</v>
      </c>
      <c r="DG112" s="21">
        <f t="shared" si="86"/>
        <v>0</v>
      </c>
      <c r="DH112" s="21">
        <f t="shared" si="86"/>
        <v>0</v>
      </c>
      <c r="DI112" s="21">
        <f t="shared" si="86"/>
        <v>0</v>
      </c>
      <c r="DJ112" s="21">
        <f t="shared" si="86"/>
        <v>0</v>
      </c>
      <c r="DK112" s="21">
        <f t="shared" si="86"/>
        <v>0</v>
      </c>
      <c r="DL112" s="21">
        <f t="shared" si="86"/>
        <v>0</v>
      </c>
      <c r="DM112" s="21">
        <f t="shared" si="86"/>
        <v>0</v>
      </c>
      <c r="DN112" s="21">
        <f t="shared" si="86"/>
        <v>0</v>
      </c>
      <c r="DO112" s="21">
        <f t="shared" si="86"/>
        <v>0</v>
      </c>
      <c r="DP112" s="21">
        <f t="shared" si="86"/>
        <v>0</v>
      </c>
      <c r="DQ112" s="21">
        <f t="shared" si="86"/>
        <v>0</v>
      </c>
      <c r="DR112" s="21">
        <f t="shared" si="86"/>
        <v>0</v>
      </c>
      <c r="DS112" s="21">
        <f t="shared" si="86"/>
        <v>0</v>
      </c>
      <c r="DT112" s="21">
        <f t="shared" si="86"/>
        <v>0</v>
      </c>
      <c r="DU112" s="21">
        <f t="shared" si="86"/>
        <v>0</v>
      </c>
      <c r="DV112" s="21">
        <f t="shared" si="87"/>
        <v>0</v>
      </c>
      <c r="DW112" s="21">
        <f t="shared" si="87"/>
        <v>0</v>
      </c>
      <c r="DX112" s="21">
        <f t="shared" si="87"/>
        <v>0</v>
      </c>
      <c r="DY112" s="21">
        <f t="shared" si="87"/>
        <v>0</v>
      </c>
      <c r="DZ112" s="21">
        <f t="shared" si="87"/>
        <v>0</v>
      </c>
      <c r="EA112" s="21">
        <f t="shared" si="87"/>
        <v>0</v>
      </c>
      <c r="EB112" s="21">
        <f t="shared" si="87"/>
        <v>11081830</v>
      </c>
      <c r="ED112" s="27">
        <f t="shared" si="58"/>
        <v>17171220</v>
      </c>
      <c r="EE112" s="27">
        <f t="shared" si="60"/>
        <v>17171220</v>
      </c>
      <c r="EF112" s="27">
        <f t="shared" si="61"/>
        <v>17171220</v>
      </c>
    </row>
    <row r="113" spans="1:136" ht="84" customHeight="1" x14ac:dyDescent="0.3">
      <c r="A113" s="167"/>
      <c r="B113" s="169" t="s">
        <v>328</v>
      </c>
      <c r="C113" s="44" t="s">
        <v>329</v>
      </c>
      <c r="D113" s="18" t="s">
        <v>330</v>
      </c>
      <c r="E113" s="61">
        <v>211</v>
      </c>
      <c r="F113" s="20" t="s">
        <v>331</v>
      </c>
      <c r="G113" s="21">
        <f t="shared" si="82"/>
        <v>646898232</v>
      </c>
      <c r="H113" s="22">
        <v>246000000</v>
      </c>
      <c r="I113" s="22">
        <f t="shared" si="88"/>
        <v>-400898232</v>
      </c>
      <c r="J113" s="41"/>
      <c r="K113" s="21"/>
      <c r="L113" s="21"/>
      <c r="M113" s="21"/>
      <c r="N113" s="21"/>
      <c r="O113" s="21"/>
      <c r="P113" s="21">
        <v>112423035</v>
      </c>
      <c r="Q113" s="21"/>
      <c r="R113" s="21"/>
      <c r="S113" s="21">
        <f>50000000+50000000</f>
        <v>100000000</v>
      </c>
      <c r="T113" s="21"/>
      <c r="U113" s="21"/>
      <c r="V113" s="21">
        <v>47237313</v>
      </c>
      <c r="W113" s="21"/>
      <c r="X113" s="21">
        <v>30000000</v>
      </c>
      <c r="Y113" s="21"/>
      <c r="Z113" s="21"/>
      <c r="AA113" s="21"/>
      <c r="AB113" s="21"/>
      <c r="AC113" s="21"/>
      <c r="AD113" s="21"/>
      <c r="AE113" s="21"/>
      <c r="AF113" s="21">
        <f>160277522+47889326+17926897+26397851+4612278+25750000+1696075+44929933+19283216+8474786</f>
        <v>357237884</v>
      </c>
      <c r="AG113" s="23">
        <f t="shared" si="55"/>
        <v>0.44075631822100886</v>
      </c>
      <c r="AH113" s="21">
        <f t="shared" si="41"/>
        <v>285124483</v>
      </c>
      <c r="AI113" s="21"/>
      <c r="AJ113" s="21"/>
      <c r="AK113" s="21"/>
      <c r="AL113" s="21"/>
      <c r="AM113" s="21"/>
      <c r="AN113" s="21"/>
      <c r="AO113" s="21">
        <f>+'[1]Acuerdo PLAN INVERSIÓN 2021'!$Z$7273</f>
        <v>102400000</v>
      </c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>
        <f>+'[1]Acuerdo PLAN INVERSIÓN 2021'!$AF$7273</f>
        <v>182724483</v>
      </c>
      <c r="BF113" s="23">
        <f t="shared" si="59"/>
        <v>0.5592436817789912</v>
      </c>
      <c r="BG113" s="21">
        <f t="shared" si="68"/>
        <v>361773749</v>
      </c>
      <c r="BH113" s="21">
        <f t="shared" si="83"/>
        <v>0</v>
      </c>
      <c r="BI113" s="21">
        <f t="shared" si="83"/>
        <v>0</v>
      </c>
      <c r="BJ113" s="21">
        <f t="shared" si="83"/>
        <v>0</v>
      </c>
      <c r="BK113" s="21">
        <f t="shared" si="83"/>
        <v>0</v>
      </c>
      <c r="BL113" s="21">
        <f t="shared" si="83"/>
        <v>0</v>
      </c>
      <c r="BM113" s="21">
        <f t="shared" si="83"/>
        <v>0</v>
      </c>
      <c r="BN113" s="21">
        <f t="shared" si="83"/>
        <v>10023035</v>
      </c>
      <c r="BO113" s="21">
        <f t="shared" si="83"/>
        <v>0</v>
      </c>
      <c r="BP113" s="21">
        <f t="shared" si="83"/>
        <v>0</v>
      </c>
      <c r="BQ113" s="21">
        <f t="shared" si="83"/>
        <v>100000000</v>
      </c>
      <c r="BR113" s="21">
        <f t="shared" si="83"/>
        <v>0</v>
      </c>
      <c r="BS113" s="21">
        <f t="shared" si="83"/>
        <v>0</v>
      </c>
      <c r="BT113" s="21">
        <f t="shared" si="83"/>
        <v>47237313</v>
      </c>
      <c r="BU113" s="21">
        <f t="shared" si="83"/>
        <v>0</v>
      </c>
      <c r="BV113" s="21">
        <f t="shared" si="83"/>
        <v>30000000</v>
      </c>
      <c r="BW113" s="21">
        <f t="shared" ref="BW113:BW128" si="89">+Y113-AX113</f>
        <v>0</v>
      </c>
      <c r="BX113" s="21">
        <f t="shared" si="84"/>
        <v>0</v>
      </c>
      <c r="BY113" s="21">
        <f t="shared" si="84"/>
        <v>0</v>
      </c>
      <c r="BZ113" s="21">
        <f t="shared" si="84"/>
        <v>0</v>
      </c>
      <c r="CA113" s="21">
        <f t="shared" si="84"/>
        <v>0</v>
      </c>
      <c r="CB113" s="21">
        <f t="shared" si="84"/>
        <v>0</v>
      </c>
      <c r="CC113" s="21">
        <f t="shared" si="84"/>
        <v>0</v>
      </c>
      <c r="CD113" s="21">
        <f t="shared" si="84"/>
        <v>174513401</v>
      </c>
      <c r="CE113" s="23">
        <f t="shared" si="56"/>
        <v>0.44075631822100886</v>
      </c>
      <c r="CF113" s="21">
        <f t="shared" si="45"/>
        <v>285124483</v>
      </c>
      <c r="CG113" s="21"/>
      <c r="CH113" s="21"/>
      <c r="CI113" s="21"/>
      <c r="CJ113" s="21"/>
      <c r="CK113" s="21"/>
      <c r="CL113" s="21"/>
      <c r="CM113" s="21">
        <f>+'[1]Acuerdo PLAN INVERSIÓN 2021'!$Z$7273</f>
        <v>102400000</v>
      </c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>
        <f>+'[1]Acuerdo PLAN INVERSIÓN 2021'!$AF$7273</f>
        <v>182724483</v>
      </c>
      <c r="DD113" s="23">
        <f t="shared" si="57"/>
        <v>0.5592436817789912</v>
      </c>
      <c r="DE113" s="21">
        <f t="shared" si="85"/>
        <v>361773749</v>
      </c>
      <c r="DF113" s="21">
        <f t="shared" si="86"/>
        <v>0</v>
      </c>
      <c r="DG113" s="21">
        <f t="shared" si="86"/>
        <v>0</v>
      </c>
      <c r="DH113" s="21">
        <f t="shared" si="86"/>
        <v>0</v>
      </c>
      <c r="DI113" s="21">
        <f t="shared" si="86"/>
        <v>0</v>
      </c>
      <c r="DJ113" s="21">
        <f t="shared" si="86"/>
        <v>0</v>
      </c>
      <c r="DK113" s="21">
        <f t="shared" si="86"/>
        <v>0</v>
      </c>
      <c r="DL113" s="21">
        <f t="shared" si="86"/>
        <v>10023035</v>
      </c>
      <c r="DM113" s="21">
        <f t="shared" si="86"/>
        <v>0</v>
      </c>
      <c r="DN113" s="21">
        <f t="shared" si="86"/>
        <v>0</v>
      </c>
      <c r="DO113" s="21">
        <f t="shared" si="86"/>
        <v>100000000</v>
      </c>
      <c r="DP113" s="21">
        <f t="shared" si="86"/>
        <v>0</v>
      </c>
      <c r="DQ113" s="21">
        <f t="shared" si="86"/>
        <v>0</v>
      </c>
      <c r="DR113" s="21">
        <f t="shared" si="86"/>
        <v>47237313</v>
      </c>
      <c r="DS113" s="21">
        <f t="shared" si="86"/>
        <v>0</v>
      </c>
      <c r="DT113" s="21">
        <f t="shared" si="86"/>
        <v>30000000</v>
      </c>
      <c r="DU113" s="21">
        <f t="shared" ref="DU113:DU128" si="90">+Y113-CV113</f>
        <v>0</v>
      </c>
      <c r="DV113" s="21">
        <f t="shared" si="87"/>
        <v>0</v>
      </c>
      <c r="DW113" s="21">
        <f t="shared" si="87"/>
        <v>0</v>
      </c>
      <c r="DX113" s="21">
        <f t="shared" si="87"/>
        <v>0</v>
      </c>
      <c r="DY113" s="21">
        <f t="shared" si="87"/>
        <v>0</v>
      </c>
      <c r="DZ113" s="21">
        <f t="shared" si="87"/>
        <v>0</v>
      </c>
      <c r="EA113" s="21">
        <f t="shared" si="87"/>
        <v>0</v>
      </c>
      <c r="EB113" s="21">
        <f t="shared" si="87"/>
        <v>174513401</v>
      </c>
      <c r="ED113" s="27">
        <f>+G113</f>
        <v>646898232</v>
      </c>
      <c r="EE113" s="27">
        <f t="shared" si="60"/>
        <v>646898232</v>
      </c>
      <c r="EF113" s="27">
        <f t="shared" si="61"/>
        <v>646898232</v>
      </c>
    </row>
    <row r="114" spans="1:136" ht="41.25" customHeight="1" x14ac:dyDescent="0.3">
      <c r="A114" s="167"/>
      <c r="B114" s="170"/>
      <c r="C114" s="44" t="s">
        <v>332</v>
      </c>
      <c r="D114" s="18" t="s">
        <v>333</v>
      </c>
      <c r="E114" s="61">
        <v>211</v>
      </c>
      <c r="F114" s="20" t="s">
        <v>334</v>
      </c>
      <c r="G114" s="21">
        <f t="shared" si="82"/>
        <v>798382610</v>
      </c>
      <c r="H114" s="22">
        <v>700000000</v>
      </c>
      <c r="I114" s="22">
        <f t="shared" si="88"/>
        <v>-98382610</v>
      </c>
      <c r="J114" s="41"/>
      <c r="K114" s="21"/>
      <c r="L114" s="21"/>
      <c r="M114" s="21"/>
      <c r="N114" s="21"/>
      <c r="O114" s="21"/>
      <c r="P114" s="21">
        <v>100000000</v>
      </c>
      <c r="Q114" s="21"/>
      <c r="R114" s="21"/>
      <c r="S114" s="21"/>
      <c r="T114" s="21"/>
      <c r="U114" s="21">
        <v>270000000</v>
      </c>
      <c r="V114" s="21"/>
      <c r="W114" s="21"/>
      <c r="X114" s="21"/>
      <c r="Y114" s="21"/>
      <c r="Z114" s="21"/>
      <c r="AA114" s="21">
        <v>360316000</v>
      </c>
      <c r="AB114" s="21"/>
      <c r="AC114" s="21"/>
      <c r="AD114" s="21"/>
      <c r="AE114" s="21"/>
      <c r="AF114" s="21">
        <f>17234367+423225+16000000+34409018</f>
        <v>68066610</v>
      </c>
      <c r="AG114" s="23">
        <f t="shared" si="55"/>
        <v>0.93569272507075274</v>
      </c>
      <c r="AH114" s="21">
        <f t="shared" si="41"/>
        <v>747040800</v>
      </c>
      <c r="AI114" s="21"/>
      <c r="AJ114" s="21"/>
      <c r="AK114" s="21"/>
      <c r="AL114" s="21"/>
      <c r="AM114" s="21"/>
      <c r="AN114" s="21"/>
      <c r="AO114" s="21">
        <f>+'[11]Acuerdo PLAN INVERSIÓN 2021'!$Z$1978</f>
        <v>100000000</v>
      </c>
      <c r="AP114" s="21"/>
      <c r="AQ114" s="21"/>
      <c r="AR114" s="21"/>
      <c r="AS114" s="21"/>
      <c r="AT114" s="21">
        <f>+'[11]Acuerdo PLAN INVERSIÓN 2021'!$O$1978</f>
        <v>270000000</v>
      </c>
      <c r="AU114" s="21"/>
      <c r="AV114" s="21"/>
      <c r="AW114" s="21"/>
      <c r="AX114" s="21"/>
      <c r="AY114" s="21"/>
      <c r="AZ114" s="21">
        <f>+'[1]Acuerdo PLAN INVERSIÓN 2021'!$X$7316</f>
        <v>317040800</v>
      </c>
      <c r="BA114" s="21"/>
      <c r="BB114" s="21"/>
      <c r="BC114" s="21"/>
      <c r="BD114" s="21"/>
      <c r="BE114" s="21">
        <f>+'[1]Acuerdo PLAN INVERSIÓN 2021'!$AF$7316</f>
        <v>60000000</v>
      </c>
      <c r="BF114" s="23">
        <f t="shared" si="59"/>
        <v>6.430727492924726E-2</v>
      </c>
      <c r="BG114" s="21">
        <f t="shared" si="68"/>
        <v>51341810</v>
      </c>
      <c r="BH114" s="21">
        <f t="shared" ref="BH114:BV128" si="91">+J114-AI114</f>
        <v>0</v>
      </c>
      <c r="BI114" s="21">
        <f t="shared" si="91"/>
        <v>0</v>
      </c>
      <c r="BJ114" s="21">
        <f t="shared" si="91"/>
        <v>0</v>
      </c>
      <c r="BK114" s="21">
        <f t="shared" si="91"/>
        <v>0</v>
      </c>
      <c r="BL114" s="21">
        <f t="shared" si="91"/>
        <v>0</v>
      </c>
      <c r="BM114" s="21">
        <f t="shared" si="91"/>
        <v>0</v>
      </c>
      <c r="BN114" s="21">
        <f t="shared" si="91"/>
        <v>0</v>
      </c>
      <c r="BO114" s="21">
        <f t="shared" si="91"/>
        <v>0</v>
      </c>
      <c r="BP114" s="21">
        <f t="shared" si="91"/>
        <v>0</v>
      </c>
      <c r="BQ114" s="21">
        <f t="shared" si="91"/>
        <v>0</v>
      </c>
      <c r="BR114" s="21">
        <f t="shared" si="91"/>
        <v>0</v>
      </c>
      <c r="BS114" s="21">
        <f t="shared" si="91"/>
        <v>0</v>
      </c>
      <c r="BT114" s="21">
        <f t="shared" si="91"/>
        <v>0</v>
      </c>
      <c r="BU114" s="21">
        <f t="shared" si="91"/>
        <v>0</v>
      </c>
      <c r="BV114" s="21">
        <f t="shared" si="91"/>
        <v>0</v>
      </c>
      <c r="BW114" s="21">
        <f t="shared" si="89"/>
        <v>0</v>
      </c>
      <c r="BX114" s="21">
        <f t="shared" si="84"/>
        <v>0</v>
      </c>
      <c r="BY114" s="21">
        <f t="shared" si="84"/>
        <v>43275200</v>
      </c>
      <c r="BZ114" s="21">
        <f t="shared" si="84"/>
        <v>0</v>
      </c>
      <c r="CA114" s="21">
        <f t="shared" si="84"/>
        <v>0</v>
      </c>
      <c r="CB114" s="21">
        <f t="shared" si="84"/>
        <v>0</v>
      </c>
      <c r="CC114" s="21">
        <f t="shared" si="84"/>
        <v>0</v>
      </c>
      <c r="CD114" s="21">
        <f t="shared" si="84"/>
        <v>8066610</v>
      </c>
      <c r="CE114" s="23">
        <f t="shared" si="56"/>
        <v>0.93569272507075274</v>
      </c>
      <c r="CF114" s="21">
        <f t="shared" si="45"/>
        <v>747040800</v>
      </c>
      <c r="CG114" s="21"/>
      <c r="CH114" s="21"/>
      <c r="CI114" s="21"/>
      <c r="CJ114" s="21"/>
      <c r="CK114" s="21"/>
      <c r="CL114" s="21"/>
      <c r="CM114" s="21">
        <f>+'[11]Acuerdo PLAN INVERSIÓN 2021'!$Z$1978</f>
        <v>100000000</v>
      </c>
      <c r="CN114" s="21"/>
      <c r="CO114" s="21"/>
      <c r="CP114" s="21"/>
      <c r="CQ114" s="21"/>
      <c r="CR114" s="21">
        <f>+'[11]Acuerdo PLAN INVERSIÓN 2021'!$O$1978</f>
        <v>270000000</v>
      </c>
      <c r="CS114" s="21"/>
      <c r="CT114" s="21"/>
      <c r="CU114" s="21"/>
      <c r="CV114" s="21"/>
      <c r="CW114" s="21"/>
      <c r="CX114" s="21">
        <f>+'[1]Acuerdo PLAN INVERSIÓN 2021'!$X$7316</f>
        <v>317040800</v>
      </c>
      <c r="CY114" s="21"/>
      <c r="CZ114" s="21"/>
      <c r="DA114" s="21"/>
      <c r="DB114" s="21"/>
      <c r="DC114" s="21">
        <f>+'[1]Acuerdo PLAN INVERSIÓN 2021'!$AF$7316</f>
        <v>60000000</v>
      </c>
      <c r="DD114" s="23">
        <f t="shared" si="57"/>
        <v>6.430727492924726E-2</v>
      </c>
      <c r="DE114" s="21">
        <f t="shared" si="85"/>
        <v>51341810</v>
      </c>
      <c r="DF114" s="21">
        <f t="shared" ref="DF114:DT128" si="92">+J114-CG114</f>
        <v>0</v>
      </c>
      <c r="DG114" s="21">
        <f t="shared" si="92"/>
        <v>0</v>
      </c>
      <c r="DH114" s="21">
        <f t="shared" si="92"/>
        <v>0</v>
      </c>
      <c r="DI114" s="21">
        <f t="shared" si="92"/>
        <v>0</v>
      </c>
      <c r="DJ114" s="21">
        <f t="shared" si="92"/>
        <v>0</v>
      </c>
      <c r="DK114" s="21">
        <f t="shared" si="92"/>
        <v>0</v>
      </c>
      <c r="DL114" s="21">
        <f t="shared" si="92"/>
        <v>0</v>
      </c>
      <c r="DM114" s="21">
        <f t="shared" si="92"/>
        <v>0</v>
      </c>
      <c r="DN114" s="21">
        <f t="shared" si="92"/>
        <v>0</v>
      </c>
      <c r="DO114" s="21">
        <f t="shared" si="92"/>
        <v>0</v>
      </c>
      <c r="DP114" s="21">
        <f t="shared" si="92"/>
        <v>0</v>
      </c>
      <c r="DQ114" s="21">
        <f t="shared" si="92"/>
        <v>0</v>
      </c>
      <c r="DR114" s="21">
        <f t="shared" si="92"/>
        <v>0</v>
      </c>
      <c r="DS114" s="21">
        <f t="shared" si="92"/>
        <v>0</v>
      </c>
      <c r="DT114" s="21">
        <f t="shared" si="92"/>
        <v>0</v>
      </c>
      <c r="DU114" s="21">
        <f t="shared" si="90"/>
        <v>0</v>
      </c>
      <c r="DV114" s="21">
        <f t="shared" si="87"/>
        <v>0</v>
      </c>
      <c r="DW114" s="21">
        <f t="shared" si="87"/>
        <v>43275200</v>
      </c>
      <c r="DX114" s="21">
        <f t="shared" si="87"/>
        <v>0</v>
      </c>
      <c r="DY114" s="21">
        <f t="shared" si="87"/>
        <v>0</v>
      </c>
      <c r="DZ114" s="21">
        <f t="shared" si="87"/>
        <v>0</v>
      </c>
      <c r="EA114" s="21">
        <f t="shared" si="87"/>
        <v>0</v>
      </c>
      <c r="EB114" s="21">
        <f t="shared" si="87"/>
        <v>8066610</v>
      </c>
      <c r="ED114" s="27">
        <f t="shared" si="58"/>
        <v>798382610</v>
      </c>
      <c r="EE114" s="27">
        <f t="shared" si="60"/>
        <v>798382610</v>
      </c>
      <c r="EF114" s="27">
        <f t="shared" si="61"/>
        <v>798382610</v>
      </c>
    </row>
    <row r="115" spans="1:136" ht="32.25" customHeight="1" x14ac:dyDescent="0.3">
      <c r="A115" s="167"/>
      <c r="B115" s="171" t="s">
        <v>335</v>
      </c>
      <c r="C115" s="44" t="s">
        <v>336</v>
      </c>
      <c r="D115" s="29" t="s">
        <v>337</v>
      </c>
      <c r="E115" s="61">
        <v>211</v>
      </c>
      <c r="F115" s="20" t="s">
        <v>338</v>
      </c>
      <c r="G115" s="21">
        <f t="shared" si="82"/>
        <v>795694116</v>
      </c>
      <c r="H115" s="22">
        <v>585000000</v>
      </c>
      <c r="I115" s="22">
        <f t="shared" si="88"/>
        <v>-210694116</v>
      </c>
      <c r="J115" s="21">
        <f>226181133+60000000+288480447</f>
        <v>574661580</v>
      </c>
      <c r="K115" s="21">
        <f>60000000-14686000</f>
        <v>45314000</v>
      </c>
      <c r="L115" s="21"/>
      <c r="M115" s="21">
        <v>718536</v>
      </c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>
        <v>150000000</v>
      </c>
      <c r="AB115" s="21"/>
      <c r="AC115" s="21"/>
      <c r="AD115" s="21"/>
      <c r="AE115" s="21"/>
      <c r="AF115" s="21">
        <f>5000000+20000000</f>
        <v>25000000</v>
      </c>
      <c r="AG115" s="23">
        <f t="shared" si="55"/>
        <v>0.21970000089833516</v>
      </c>
      <c r="AH115" s="21">
        <f t="shared" ref="AH115:AH128" si="93">SUM(AI115:BE115)</f>
        <v>174813998</v>
      </c>
      <c r="AI115" s="21"/>
      <c r="AJ115" s="21">
        <f>+'[2]Acuerdo PLAN INVERSIÓN 2021'!$H$3523+'[2]Acuerdo PLAN INVERSIÓN 2021'!$H$3532</f>
        <v>43700000</v>
      </c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>
        <f>+'[1]Acuerdo PLAN INVERSIÓN 2021'!$X$7346</f>
        <v>106500000</v>
      </c>
      <c r="BA115" s="21"/>
      <c r="BB115" s="21"/>
      <c r="BC115" s="21"/>
      <c r="BD115" s="21"/>
      <c r="BE115" s="21">
        <f>+'[1]Acuerdo PLAN INVERSIÓN 2021'!$AF$7346</f>
        <v>24613998</v>
      </c>
      <c r="BF115" s="23">
        <f t="shared" si="59"/>
        <v>0.78029999910166481</v>
      </c>
      <c r="BG115" s="21">
        <f t="shared" si="68"/>
        <v>620880118</v>
      </c>
      <c r="BH115" s="21">
        <f t="shared" si="91"/>
        <v>574661580</v>
      </c>
      <c r="BI115" s="21">
        <f t="shared" si="91"/>
        <v>1614000</v>
      </c>
      <c r="BJ115" s="21">
        <f t="shared" si="91"/>
        <v>0</v>
      </c>
      <c r="BK115" s="21">
        <f t="shared" si="91"/>
        <v>718536</v>
      </c>
      <c r="BL115" s="21">
        <f t="shared" si="91"/>
        <v>0</v>
      </c>
      <c r="BM115" s="21">
        <f t="shared" si="91"/>
        <v>0</v>
      </c>
      <c r="BN115" s="21">
        <f t="shared" si="91"/>
        <v>0</v>
      </c>
      <c r="BO115" s="21">
        <f t="shared" si="91"/>
        <v>0</v>
      </c>
      <c r="BP115" s="21">
        <f t="shared" si="91"/>
        <v>0</v>
      </c>
      <c r="BQ115" s="21">
        <f t="shared" si="91"/>
        <v>0</v>
      </c>
      <c r="BR115" s="21">
        <f t="shared" si="91"/>
        <v>0</v>
      </c>
      <c r="BS115" s="21">
        <f t="shared" si="91"/>
        <v>0</v>
      </c>
      <c r="BT115" s="21">
        <f t="shared" si="91"/>
        <v>0</v>
      </c>
      <c r="BU115" s="21">
        <f t="shared" si="91"/>
        <v>0</v>
      </c>
      <c r="BV115" s="21">
        <f t="shared" si="91"/>
        <v>0</v>
      </c>
      <c r="BW115" s="21">
        <f t="shared" si="89"/>
        <v>0</v>
      </c>
      <c r="BX115" s="21">
        <f t="shared" si="84"/>
        <v>0</v>
      </c>
      <c r="BY115" s="21">
        <f t="shared" si="84"/>
        <v>43500000</v>
      </c>
      <c r="BZ115" s="21">
        <f t="shared" si="84"/>
        <v>0</v>
      </c>
      <c r="CA115" s="21">
        <f t="shared" si="84"/>
        <v>0</v>
      </c>
      <c r="CB115" s="21">
        <f t="shared" si="84"/>
        <v>0</v>
      </c>
      <c r="CC115" s="21">
        <f t="shared" si="84"/>
        <v>0</v>
      </c>
      <c r="CD115" s="21">
        <f t="shared" si="84"/>
        <v>386002</v>
      </c>
      <c r="CE115" s="23">
        <f t="shared" si="56"/>
        <v>0.21970000089833516</v>
      </c>
      <c r="CF115" s="21">
        <f t="shared" ref="CF115:CF128" si="94">SUM(CG115:DC115)</f>
        <v>174813998</v>
      </c>
      <c r="CG115" s="21"/>
      <c r="CH115" s="21">
        <f>+'[2]Acuerdo PLAN INVERSIÓN 2021'!$H$3523+'[2]Acuerdo PLAN INVERSIÓN 2021'!$H$3532</f>
        <v>43700000</v>
      </c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>
        <f>+'[1]Acuerdo PLAN INVERSIÓN 2021'!$X$7346</f>
        <v>106500000</v>
      </c>
      <c r="CY115" s="21"/>
      <c r="CZ115" s="21"/>
      <c r="DA115" s="21"/>
      <c r="DB115" s="21"/>
      <c r="DC115" s="21">
        <f>+'[1]Acuerdo PLAN INVERSIÓN 2021'!$AF$7346</f>
        <v>24613998</v>
      </c>
      <c r="DD115" s="23">
        <f t="shared" si="57"/>
        <v>0.78029999910166481</v>
      </c>
      <c r="DE115" s="21">
        <f t="shared" si="85"/>
        <v>620880118</v>
      </c>
      <c r="DF115" s="21">
        <f t="shared" si="92"/>
        <v>574661580</v>
      </c>
      <c r="DG115" s="21">
        <f t="shared" si="92"/>
        <v>1614000</v>
      </c>
      <c r="DH115" s="21">
        <f t="shared" si="92"/>
        <v>0</v>
      </c>
      <c r="DI115" s="21">
        <f t="shared" si="92"/>
        <v>718536</v>
      </c>
      <c r="DJ115" s="21">
        <f t="shared" si="92"/>
        <v>0</v>
      </c>
      <c r="DK115" s="21">
        <f t="shared" si="92"/>
        <v>0</v>
      </c>
      <c r="DL115" s="21">
        <f t="shared" si="92"/>
        <v>0</v>
      </c>
      <c r="DM115" s="21">
        <f t="shared" si="92"/>
        <v>0</v>
      </c>
      <c r="DN115" s="21">
        <f t="shared" si="92"/>
        <v>0</v>
      </c>
      <c r="DO115" s="21">
        <f t="shared" si="92"/>
        <v>0</v>
      </c>
      <c r="DP115" s="21">
        <f t="shared" si="92"/>
        <v>0</v>
      </c>
      <c r="DQ115" s="21">
        <f t="shared" si="92"/>
        <v>0</v>
      </c>
      <c r="DR115" s="21">
        <f t="shared" si="92"/>
        <v>0</v>
      </c>
      <c r="DS115" s="21">
        <f t="shared" si="92"/>
        <v>0</v>
      </c>
      <c r="DT115" s="21">
        <f t="shared" si="92"/>
        <v>0</v>
      </c>
      <c r="DU115" s="21">
        <f t="shared" si="90"/>
        <v>0</v>
      </c>
      <c r="DV115" s="21">
        <f t="shared" si="87"/>
        <v>0</v>
      </c>
      <c r="DW115" s="21">
        <f t="shared" si="87"/>
        <v>43500000</v>
      </c>
      <c r="DX115" s="21">
        <f t="shared" si="87"/>
        <v>0</v>
      </c>
      <c r="DY115" s="21">
        <f t="shared" si="87"/>
        <v>0</v>
      </c>
      <c r="DZ115" s="21">
        <f t="shared" si="87"/>
        <v>0</v>
      </c>
      <c r="EA115" s="21">
        <f t="shared" si="87"/>
        <v>0</v>
      </c>
      <c r="EB115" s="21">
        <f t="shared" si="87"/>
        <v>386002</v>
      </c>
      <c r="ED115" s="27">
        <f t="shared" si="58"/>
        <v>795694116</v>
      </c>
      <c r="EE115" s="27">
        <f t="shared" si="60"/>
        <v>795694116</v>
      </c>
      <c r="EF115" s="27">
        <f t="shared" si="61"/>
        <v>795694116</v>
      </c>
    </row>
    <row r="116" spans="1:136" ht="30" customHeight="1" x14ac:dyDescent="0.3">
      <c r="A116" s="167"/>
      <c r="B116" s="172"/>
      <c r="C116" s="44" t="s">
        <v>339</v>
      </c>
      <c r="D116" s="29" t="s">
        <v>340</v>
      </c>
      <c r="E116" s="61">
        <v>211</v>
      </c>
      <c r="F116" s="20" t="s">
        <v>243</v>
      </c>
      <c r="G116" s="21">
        <f t="shared" si="82"/>
        <v>90000000</v>
      </c>
      <c r="H116" s="22">
        <v>380000000</v>
      </c>
      <c r="I116" s="22">
        <f t="shared" si="88"/>
        <v>290000000</v>
      </c>
      <c r="J116" s="41"/>
      <c r="K116" s="21">
        <v>45000000</v>
      </c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>
        <f>15000000+30000000</f>
        <v>45000000</v>
      </c>
      <c r="AB116" s="21"/>
      <c r="AC116" s="21"/>
      <c r="AD116" s="21"/>
      <c r="AE116" s="21"/>
      <c r="AF116" s="21"/>
      <c r="AG116" s="23">
        <f t="shared" si="55"/>
        <v>0.969858</v>
      </c>
      <c r="AH116" s="21">
        <f t="shared" si="93"/>
        <v>87287220</v>
      </c>
      <c r="AI116" s="21"/>
      <c r="AJ116" s="21">
        <f>+'[1]Acuerdo PLAN INVERSIÓN 2021'!$J$7372</f>
        <v>44457860</v>
      </c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>
        <f>+'[1]Acuerdo PLAN INVERSIÓN 2021'!$X$7372</f>
        <v>42829360</v>
      </c>
      <c r="BA116" s="21"/>
      <c r="BB116" s="21"/>
      <c r="BC116" s="21"/>
      <c r="BD116" s="21"/>
      <c r="BE116" s="21"/>
      <c r="BF116" s="23">
        <f t="shared" si="59"/>
        <v>3.0142000000000002E-2</v>
      </c>
      <c r="BG116" s="21">
        <f t="shared" si="68"/>
        <v>2712780</v>
      </c>
      <c r="BH116" s="21">
        <f t="shared" si="91"/>
        <v>0</v>
      </c>
      <c r="BI116" s="21">
        <f t="shared" si="91"/>
        <v>542140</v>
      </c>
      <c r="BJ116" s="21">
        <f t="shared" si="91"/>
        <v>0</v>
      </c>
      <c r="BK116" s="21">
        <f t="shared" si="91"/>
        <v>0</v>
      </c>
      <c r="BL116" s="21">
        <f t="shared" si="91"/>
        <v>0</v>
      </c>
      <c r="BM116" s="21">
        <f t="shared" si="91"/>
        <v>0</v>
      </c>
      <c r="BN116" s="21">
        <f t="shared" si="91"/>
        <v>0</v>
      </c>
      <c r="BO116" s="21">
        <f t="shared" si="91"/>
        <v>0</v>
      </c>
      <c r="BP116" s="21">
        <f t="shared" si="91"/>
        <v>0</v>
      </c>
      <c r="BQ116" s="21">
        <f t="shared" si="91"/>
        <v>0</v>
      </c>
      <c r="BR116" s="21">
        <f t="shared" si="91"/>
        <v>0</v>
      </c>
      <c r="BS116" s="21">
        <f t="shared" si="91"/>
        <v>0</v>
      </c>
      <c r="BT116" s="21">
        <f t="shared" si="91"/>
        <v>0</v>
      </c>
      <c r="BU116" s="21">
        <f t="shared" si="91"/>
        <v>0</v>
      </c>
      <c r="BV116" s="21">
        <f t="shared" si="91"/>
        <v>0</v>
      </c>
      <c r="BW116" s="21">
        <f t="shared" si="89"/>
        <v>0</v>
      </c>
      <c r="BX116" s="21">
        <f t="shared" si="84"/>
        <v>0</v>
      </c>
      <c r="BY116" s="21">
        <f t="shared" si="84"/>
        <v>2170640</v>
      </c>
      <c r="BZ116" s="21">
        <f t="shared" si="84"/>
        <v>0</v>
      </c>
      <c r="CA116" s="21">
        <f t="shared" si="84"/>
        <v>0</v>
      </c>
      <c r="CB116" s="21">
        <f t="shared" si="84"/>
        <v>0</v>
      </c>
      <c r="CC116" s="21">
        <f t="shared" si="84"/>
        <v>0</v>
      </c>
      <c r="CD116" s="21">
        <f t="shared" si="84"/>
        <v>0</v>
      </c>
      <c r="CE116" s="23">
        <f t="shared" si="56"/>
        <v>0.969858</v>
      </c>
      <c r="CF116" s="21">
        <f t="shared" si="94"/>
        <v>87287220</v>
      </c>
      <c r="CG116" s="21"/>
      <c r="CH116" s="21">
        <f>+'[12]Acuerdo PLAN INVERSIÓN 2021'!$H$1327</f>
        <v>44457860</v>
      </c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>
        <f>+'[3]Acuerdo PLAN INVERSIÓN 2021'!$H$4953+'[3]Acuerdo PLAN INVERSIÓN 2021'!$H$4959</f>
        <v>42829360</v>
      </c>
      <c r="CY116" s="21"/>
      <c r="CZ116" s="21"/>
      <c r="DA116" s="21"/>
      <c r="DB116" s="21"/>
      <c r="DC116" s="21"/>
      <c r="DD116" s="23">
        <f t="shared" si="57"/>
        <v>3.0142000000000002E-2</v>
      </c>
      <c r="DE116" s="21">
        <f t="shared" si="85"/>
        <v>2712780</v>
      </c>
      <c r="DF116" s="21">
        <f t="shared" si="92"/>
        <v>0</v>
      </c>
      <c r="DG116" s="21">
        <f t="shared" si="92"/>
        <v>542140</v>
      </c>
      <c r="DH116" s="21">
        <f t="shared" si="92"/>
        <v>0</v>
      </c>
      <c r="DI116" s="21">
        <f t="shared" si="92"/>
        <v>0</v>
      </c>
      <c r="DJ116" s="21">
        <f t="shared" si="92"/>
        <v>0</v>
      </c>
      <c r="DK116" s="21">
        <f t="shared" si="92"/>
        <v>0</v>
      </c>
      <c r="DL116" s="21">
        <f t="shared" si="92"/>
        <v>0</v>
      </c>
      <c r="DM116" s="21">
        <f t="shared" si="92"/>
        <v>0</v>
      </c>
      <c r="DN116" s="21">
        <f t="shared" si="92"/>
        <v>0</v>
      </c>
      <c r="DO116" s="21">
        <f t="shared" si="92"/>
        <v>0</v>
      </c>
      <c r="DP116" s="21">
        <f t="shared" si="92"/>
        <v>0</v>
      </c>
      <c r="DQ116" s="21">
        <f t="shared" si="92"/>
        <v>0</v>
      </c>
      <c r="DR116" s="21">
        <f t="shared" si="92"/>
        <v>0</v>
      </c>
      <c r="DS116" s="21">
        <f t="shared" si="92"/>
        <v>0</v>
      </c>
      <c r="DT116" s="21">
        <f t="shared" si="92"/>
        <v>0</v>
      </c>
      <c r="DU116" s="21">
        <f t="shared" si="90"/>
        <v>0</v>
      </c>
      <c r="DV116" s="21">
        <f t="shared" si="87"/>
        <v>0</v>
      </c>
      <c r="DW116" s="21">
        <f t="shared" si="87"/>
        <v>2170640</v>
      </c>
      <c r="DX116" s="21">
        <f t="shared" si="87"/>
        <v>0</v>
      </c>
      <c r="DY116" s="21">
        <f t="shared" si="87"/>
        <v>0</v>
      </c>
      <c r="DZ116" s="21">
        <f t="shared" si="87"/>
        <v>0</v>
      </c>
      <c r="EA116" s="21">
        <f t="shared" si="87"/>
        <v>0</v>
      </c>
      <c r="EB116" s="21">
        <f t="shared" si="87"/>
        <v>0</v>
      </c>
      <c r="ED116" s="27">
        <f t="shared" si="58"/>
        <v>90000000</v>
      </c>
      <c r="EE116" s="27">
        <f t="shared" si="60"/>
        <v>90000000</v>
      </c>
      <c r="EF116" s="27">
        <f t="shared" si="61"/>
        <v>90000000</v>
      </c>
    </row>
    <row r="117" spans="1:136" ht="18" customHeight="1" x14ac:dyDescent="0.3">
      <c r="A117" s="167"/>
      <c r="B117" s="172"/>
      <c r="C117" s="44" t="s">
        <v>341</v>
      </c>
      <c r="D117" s="29" t="s">
        <v>342</v>
      </c>
      <c r="E117" s="61">
        <v>211</v>
      </c>
      <c r="F117" s="20" t="s">
        <v>243</v>
      </c>
      <c r="G117" s="21">
        <f t="shared" si="82"/>
        <v>135400000</v>
      </c>
      <c r="H117" s="22">
        <v>231000000</v>
      </c>
      <c r="I117" s="22">
        <f t="shared" si="88"/>
        <v>95600000</v>
      </c>
      <c r="J117" s="41"/>
      <c r="K117" s="21">
        <v>55000000</v>
      </c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>
        <f>40400000+40000000</f>
        <v>80400000</v>
      </c>
      <c r="AB117" s="21"/>
      <c r="AC117" s="21"/>
      <c r="AD117" s="21"/>
      <c r="AE117" s="21"/>
      <c r="AF117" s="21"/>
      <c r="AG117" s="23">
        <f t="shared" si="55"/>
        <v>0.90947675775480064</v>
      </c>
      <c r="AH117" s="21">
        <f t="shared" si="93"/>
        <v>123143153</v>
      </c>
      <c r="AI117" s="21"/>
      <c r="AJ117" s="21">
        <f>+'[1]Acuerdo PLAN INVERSIÓN 2021'!$J$7392</f>
        <v>54909740</v>
      </c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>
        <f>+'[1]Acuerdo PLAN INVERSIÓN 2021'!$X$7392</f>
        <v>68233413</v>
      </c>
      <c r="BA117" s="21"/>
      <c r="BB117" s="21"/>
      <c r="BC117" s="21"/>
      <c r="BD117" s="21"/>
      <c r="BE117" s="21"/>
      <c r="BF117" s="23">
        <f t="shared" si="59"/>
        <v>9.0523242245199365E-2</v>
      </c>
      <c r="BG117" s="21">
        <f t="shared" si="68"/>
        <v>12256847</v>
      </c>
      <c r="BH117" s="21">
        <f t="shared" si="91"/>
        <v>0</v>
      </c>
      <c r="BI117" s="21">
        <f t="shared" si="91"/>
        <v>90260</v>
      </c>
      <c r="BJ117" s="21">
        <f t="shared" si="91"/>
        <v>0</v>
      </c>
      <c r="BK117" s="21">
        <f t="shared" si="91"/>
        <v>0</v>
      </c>
      <c r="BL117" s="21">
        <f t="shared" si="91"/>
        <v>0</v>
      </c>
      <c r="BM117" s="21">
        <f t="shared" si="91"/>
        <v>0</v>
      </c>
      <c r="BN117" s="21">
        <f t="shared" si="91"/>
        <v>0</v>
      </c>
      <c r="BO117" s="21">
        <f t="shared" si="91"/>
        <v>0</v>
      </c>
      <c r="BP117" s="21">
        <f t="shared" si="91"/>
        <v>0</v>
      </c>
      <c r="BQ117" s="21">
        <f t="shared" si="91"/>
        <v>0</v>
      </c>
      <c r="BR117" s="21">
        <f t="shared" si="91"/>
        <v>0</v>
      </c>
      <c r="BS117" s="21">
        <f t="shared" si="91"/>
        <v>0</v>
      </c>
      <c r="BT117" s="21">
        <f t="shared" si="91"/>
        <v>0</v>
      </c>
      <c r="BU117" s="21">
        <f t="shared" si="91"/>
        <v>0</v>
      </c>
      <c r="BV117" s="21">
        <f t="shared" si="91"/>
        <v>0</v>
      </c>
      <c r="BW117" s="21">
        <f t="shared" si="89"/>
        <v>0</v>
      </c>
      <c r="BX117" s="21">
        <f t="shared" si="84"/>
        <v>0</v>
      </c>
      <c r="BY117" s="21">
        <f t="shared" si="84"/>
        <v>12166587</v>
      </c>
      <c r="BZ117" s="21">
        <f t="shared" si="84"/>
        <v>0</v>
      </c>
      <c r="CA117" s="21">
        <f t="shared" si="84"/>
        <v>0</v>
      </c>
      <c r="CB117" s="21">
        <f t="shared" si="84"/>
        <v>0</v>
      </c>
      <c r="CC117" s="21">
        <f t="shared" si="84"/>
        <v>0</v>
      </c>
      <c r="CD117" s="21">
        <f t="shared" si="84"/>
        <v>0</v>
      </c>
      <c r="CE117" s="23">
        <f t="shared" si="56"/>
        <v>0.90947675775480064</v>
      </c>
      <c r="CF117" s="21">
        <f t="shared" si="94"/>
        <v>123143153</v>
      </c>
      <c r="CG117" s="21"/>
      <c r="CH117" s="21">
        <f>+'[12]Acuerdo PLAN INVERSIÓN 2021'!$H$1336</f>
        <v>54909740</v>
      </c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>
        <f>+'[3]Acuerdo PLAN INVERSIÓN 2021'!$H$4974+'[3]Acuerdo PLAN INVERSIÓN 2021'!$H$4983</f>
        <v>68233413</v>
      </c>
      <c r="CY117" s="21"/>
      <c r="CZ117" s="21"/>
      <c r="DA117" s="21"/>
      <c r="DB117" s="21"/>
      <c r="DC117" s="21"/>
      <c r="DD117" s="23">
        <f t="shared" si="57"/>
        <v>9.0523242245199365E-2</v>
      </c>
      <c r="DE117" s="21">
        <f t="shared" si="85"/>
        <v>12256847</v>
      </c>
      <c r="DF117" s="21">
        <f t="shared" si="92"/>
        <v>0</v>
      </c>
      <c r="DG117" s="21">
        <f t="shared" si="92"/>
        <v>90260</v>
      </c>
      <c r="DH117" s="21">
        <f t="shared" si="92"/>
        <v>0</v>
      </c>
      <c r="DI117" s="21">
        <f t="shared" si="92"/>
        <v>0</v>
      </c>
      <c r="DJ117" s="21">
        <f t="shared" si="92"/>
        <v>0</v>
      </c>
      <c r="DK117" s="21">
        <f t="shared" si="92"/>
        <v>0</v>
      </c>
      <c r="DL117" s="21">
        <f t="shared" si="92"/>
        <v>0</v>
      </c>
      <c r="DM117" s="21">
        <f t="shared" si="92"/>
        <v>0</v>
      </c>
      <c r="DN117" s="21">
        <f t="shared" si="92"/>
        <v>0</v>
      </c>
      <c r="DO117" s="21">
        <f t="shared" si="92"/>
        <v>0</v>
      </c>
      <c r="DP117" s="21">
        <f t="shared" si="92"/>
        <v>0</v>
      </c>
      <c r="DQ117" s="21">
        <f t="shared" si="92"/>
        <v>0</v>
      </c>
      <c r="DR117" s="21">
        <f t="shared" si="92"/>
        <v>0</v>
      </c>
      <c r="DS117" s="21">
        <f t="shared" si="92"/>
        <v>0</v>
      </c>
      <c r="DT117" s="21">
        <f t="shared" si="92"/>
        <v>0</v>
      </c>
      <c r="DU117" s="21">
        <f t="shared" si="90"/>
        <v>0</v>
      </c>
      <c r="DV117" s="21">
        <f t="shared" si="87"/>
        <v>0</v>
      </c>
      <c r="DW117" s="21">
        <f t="shared" si="87"/>
        <v>12166587</v>
      </c>
      <c r="DX117" s="21">
        <f t="shared" si="87"/>
        <v>0</v>
      </c>
      <c r="DY117" s="21">
        <f t="shared" si="87"/>
        <v>0</v>
      </c>
      <c r="DZ117" s="21">
        <f t="shared" si="87"/>
        <v>0</v>
      </c>
      <c r="EA117" s="21">
        <f t="shared" si="87"/>
        <v>0</v>
      </c>
      <c r="EB117" s="21">
        <f t="shared" si="87"/>
        <v>0</v>
      </c>
      <c r="ED117" s="27">
        <f t="shared" si="58"/>
        <v>135400000</v>
      </c>
      <c r="EE117" s="27">
        <f t="shared" si="60"/>
        <v>135400000</v>
      </c>
      <c r="EF117" s="27">
        <f t="shared" si="61"/>
        <v>135400000</v>
      </c>
    </row>
    <row r="118" spans="1:136" ht="19.5" customHeight="1" x14ac:dyDescent="0.3">
      <c r="A118" s="167"/>
      <c r="B118" s="172"/>
      <c r="C118" s="44" t="s">
        <v>343</v>
      </c>
      <c r="D118" s="29" t="s">
        <v>344</v>
      </c>
      <c r="E118" s="61">
        <v>211</v>
      </c>
      <c r="F118" s="20" t="s">
        <v>243</v>
      </c>
      <c r="G118" s="21">
        <f t="shared" si="82"/>
        <v>489600000</v>
      </c>
      <c r="H118" s="22">
        <v>416500000</v>
      </c>
      <c r="I118" s="22">
        <f t="shared" si="88"/>
        <v>-73100000</v>
      </c>
      <c r="J118" s="41"/>
      <c r="K118" s="21">
        <v>200000000</v>
      </c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>
        <f>165000000-15000000-40400000+90000000</f>
        <v>199600000</v>
      </c>
      <c r="AB118" s="21">
        <v>90000000</v>
      </c>
      <c r="AC118" s="21"/>
      <c r="AD118" s="21"/>
      <c r="AE118" s="21"/>
      <c r="AF118" s="21"/>
      <c r="AG118" s="23">
        <f t="shared" si="55"/>
        <v>0.96362906454248365</v>
      </c>
      <c r="AH118" s="21">
        <f t="shared" si="93"/>
        <v>471792790</v>
      </c>
      <c r="AI118" s="21"/>
      <c r="AJ118" s="21">
        <f>+'[1]Acuerdo PLAN INVERSIÓN 2021'!$J$7417</f>
        <v>199915580</v>
      </c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>
        <f>+'[1]Acuerdo PLAN INVERSIÓN 2021'!$X$7417</f>
        <v>189015277</v>
      </c>
      <c r="BA118" s="21">
        <f>+'[1]Acuerdo PLAN INVERSIÓN 2021'!$Y$7417</f>
        <v>82861933</v>
      </c>
      <c r="BB118" s="21"/>
      <c r="BC118" s="21"/>
      <c r="BD118" s="21"/>
      <c r="BE118" s="21"/>
      <c r="BF118" s="23">
        <f t="shared" si="59"/>
        <v>3.6370935457516351E-2</v>
      </c>
      <c r="BG118" s="21">
        <f t="shared" si="68"/>
        <v>17807210</v>
      </c>
      <c r="BH118" s="21">
        <f t="shared" si="91"/>
        <v>0</v>
      </c>
      <c r="BI118" s="21">
        <f t="shared" si="91"/>
        <v>84420</v>
      </c>
      <c r="BJ118" s="21">
        <f t="shared" si="91"/>
        <v>0</v>
      </c>
      <c r="BK118" s="21">
        <f t="shared" si="91"/>
        <v>0</v>
      </c>
      <c r="BL118" s="21">
        <f t="shared" si="91"/>
        <v>0</v>
      </c>
      <c r="BM118" s="21">
        <f t="shared" si="91"/>
        <v>0</v>
      </c>
      <c r="BN118" s="21">
        <f t="shared" si="91"/>
        <v>0</v>
      </c>
      <c r="BO118" s="21">
        <f t="shared" si="91"/>
        <v>0</v>
      </c>
      <c r="BP118" s="21">
        <f t="shared" si="91"/>
        <v>0</v>
      </c>
      <c r="BQ118" s="21">
        <f t="shared" si="91"/>
        <v>0</v>
      </c>
      <c r="BR118" s="21">
        <f t="shared" si="91"/>
        <v>0</v>
      </c>
      <c r="BS118" s="21">
        <f t="shared" si="91"/>
        <v>0</v>
      </c>
      <c r="BT118" s="21">
        <f t="shared" si="91"/>
        <v>0</v>
      </c>
      <c r="BU118" s="21">
        <f t="shared" si="91"/>
        <v>0</v>
      </c>
      <c r="BV118" s="21">
        <f t="shared" si="91"/>
        <v>0</v>
      </c>
      <c r="BW118" s="21">
        <f t="shared" si="89"/>
        <v>0</v>
      </c>
      <c r="BX118" s="21">
        <f t="shared" si="84"/>
        <v>0</v>
      </c>
      <c r="BY118" s="21">
        <f t="shared" si="84"/>
        <v>10584723</v>
      </c>
      <c r="BZ118" s="21">
        <f t="shared" si="84"/>
        <v>7138067</v>
      </c>
      <c r="CA118" s="21">
        <f t="shared" si="84"/>
        <v>0</v>
      </c>
      <c r="CB118" s="21">
        <f t="shared" si="84"/>
        <v>0</v>
      </c>
      <c r="CC118" s="21">
        <f t="shared" si="84"/>
        <v>0</v>
      </c>
      <c r="CD118" s="21">
        <f t="shared" si="84"/>
        <v>0</v>
      </c>
      <c r="CE118" s="23">
        <f t="shared" si="56"/>
        <v>0.96362906454248365</v>
      </c>
      <c r="CF118" s="21">
        <f t="shared" si="94"/>
        <v>471792790</v>
      </c>
      <c r="CG118" s="21"/>
      <c r="CH118" s="21">
        <f>+'[3]Acuerdo PLAN INVERSIÓN 2021'!$H$4992</f>
        <v>199915580</v>
      </c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>
        <f>+'[5]Acuerdo PLAN INVERSIÓN 2021'!$H$7036+'[5]Acuerdo PLAN INVERSIÓN 2021'!$H$7061+'[5]Acuerdo PLAN INVERSIÓN 2021'!$H$7067</f>
        <v>189015277</v>
      </c>
      <c r="CY118" s="21">
        <f>+'[5]Acuerdo PLAN INVERSIÓN 2021'!$H$7077</f>
        <v>82861933</v>
      </c>
      <c r="CZ118" s="21"/>
      <c r="DA118" s="21"/>
      <c r="DB118" s="21"/>
      <c r="DC118" s="21"/>
      <c r="DD118" s="23">
        <f t="shared" si="57"/>
        <v>3.6370935457516351E-2</v>
      </c>
      <c r="DE118" s="21">
        <f t="shared" si="85"/>
        <v>17807210</v>
      </c>
      <c r="DF118" s="21">
        <f t="shared" si="92"/>
        <v>0</v>
      </c>
      <c r="DG118" s="21">
        <f t="shared" si="92"/>
        <v>84420</v>
      </c>
      <c r="DH118" s="21">
        <f t="shared" si="92"/>
        <v>0</v>
      </c>
      <c r="DI118" s="21">
        <f t="shared" si="92"/>
        <v>0</v>
      </c>
      <c r="DJ118" s="21">
        <f t="shared" si="92"/>
        <v>0</v>
      </c>
      <c r="DK118" s="21">
        <f t="shared" si="92"/>
        <v>0</v>
      </c>
      <c r="DL118" s="21">
        <f t="shared" si="92"/>
        <v>0</v>
      </c>
      <c r="DM118" s="21">
        <f t="shared" si="92"/>
        <v>0</v>
      </c>
      <c r="DN118" s="21">
        <f t="shared" si="92"/>
        <v>0</v>
      </c>
      <c r="DO118" s="21">
        <f t="shared" si="92"/>
        <v>0</v>
      </c>
      <c r="DP118" s="21">
        <f t="shared" si="92"/>
        <v>0</v>
      </c>
      <c r="DQ118" s="21">
        <f t="shared" si="92"/>
        <v>0</v>
      </c>
      <c r="DR118" s="21">
        <f t="shared" si="92"/>
        <v>0</v>
      </c>
      <c r="DS118" s="21">
        <f t="shared" si="92"/>
        <v>0</v>
      </c>
      <c r="DT118" s="21">
        <f t="shared" si="92"/>
        <v>0</v>
      </c>
      <c r="DU118" s="21">
        <f t="shared" si="90"/>
        <v>0</v>
      </c>
      <c r="DV118" s="21">
        <f t="shared" si="87"/>
        <v>0</v>
      </c>
      <c r="DW118" s="21">
        <f t="shared" si="87"/>
        <v>10584723</v>
      </c>
      <c r="DX118" s="21">
        <f t="shared" si="87"/>
        <v>7138067</v>
      </c>
      <c r="DY118" s="21">
        <f t="shared" si="87"/>
        <v>0</v>
      </c>
      <c r="DZ118" s="21">
        <f t="shared" si="87"/>
        <v>0</v>
      </c>
      <c r="EA118" s="21">
        <f t="shared" si="87"/>
        <v>0</v>
      </c>
      <c r="EB118" s="21">
        <f t="shared" si="87"/>
        <v>0</v>
      </c>
      <c r="ED118" s="27">
        <f t="shared" si="58"/>
        <v>489600000</v>
      </c>
      <c r="EE118" s="27">
        <f t="shared" si="60"/>
        <v>489600000</v>
      </c>
      <c r="EF118" s="27">
        <f t="shared" si="61"/>
        <v>489600000</v>
      </c>
    </row>
    <row r="119" spans="1:136" ht="27.75" customHeight="1" x14ac:dyDescent="0.3">
      <c r="A119" s="167"/>
      <c r="B119" s="173"/>
      <c r="C119" s="44" t="s">
        <v>345</v>
      </c>
      <c r="D119" s="29" t="s">
        <v>346</v>
      </c>
      <c r="E119" s="61">
        <v>211</v>
      </c>
      <c r="F119" s="20" t="s">
        <v>347</v>
      </c>
      <c r="G119" s="21">
        <f t="shared" si="82"/>
        <v>980852039</v>
      </c>
      <c r="H119" s="22">
        <v>520000000</v>
      </c>
      <c r="I119" s="22">
        <f t="shared" si="88"/>
        <v>-460852039</v>
      </c>
      <c r="J119" s="21">
        <f>60000000</f>
        <v>60000000</v>
      </c>
      <c r="K119" s="21">
        <v>200000000</v>
      </c>
      <c r="L119" s="21"/>
      <c r="M119" s="21">
        <f>10351839+362500200</f>
        <v>372852039</v>
      </c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>
        <v>340000000</v>
      </c>
      <c r="AB119" s="21"/>
      <c r="AC119" s="21"/>
      <c r="AD119" s="21"/>
      <c r="AE119" s="21"/>
      <c r="AF119" s="21">
        <v>8000000</v>
      </c>
      <c r="AG119" s="23">
        <f t="shared" si="55"/>
        <v>0.53249679180205078</v>
      </c>
      <c r="AH119" s="21">
        <f t="shared" si="93"/>
        <v>522300564</v>
      </c>
      <c r="AI119" s="21">
        <f>+'[1]Acuerdo PLAN INVERSIÓN 2021'!$L$7500</f>
        <v>11412775</v>
      </c>
      <c r="AJ119" s="21">
        <f>+'[1]Acuerdo PLAN INVERSIÓN 2021'!$J$7500</f>
        <v>199386400</v>
      </c>
      <c r="AK119" s="21"/>
      <c r="AL119" s="21">
        <f>+'[1]Acuerdo PLAN INVERSIÓN 2021'!$M$7500</f>
        <v>281162695</v>
      </c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>
        <f>+'[1]Acuerdo PLAN INVERSIÓN 2021'!$X$7500</f>
        <v>22338694</v>
      </c>
      <c r="BA119" s="21"/>
      <c r="BB119" s="21"/>
      <c r="BC119" s="21"/>
      <c r="BD119" s="21"/>
      <c r="BE119" s="21">
        <f>+'[5]Acuerdo PLAN INVERSIÓN 2021'!$AF$7093</f>
        <v>8000000</v>
      </c>
      <c r="BF119" s="23">
        <f t="shared" si="59"/>
        <v>0.46750320819794922</v>
      </c>
      <c r="BG119" s="21">
        <f t="shared" si="68"/>
        <v>458551475</v>
      </c>
      <c r="BH119" s="21">
        <f t="shared" si="91"/>
        <v>48587225</v>
      </c>
      <c r="BI119" s="21">
        <f t="shared" si="91"/>
        <v>613600</v>
      </c>
      <c r="BJ119" s="21">
        <f t="shared" si="91"/>
        <v>0</v>
      </c>
      <c r="BK119" s="21">
        <f t="shared" si="91"/>
        <v>91689344</v>
      </c>
      <c r="BL119" s="21">
        <f t="shared" si="91"/>
        <v>0</v>
      </c>
      <c r="BM119" s="21">
        <f t="shared" si="91"/>
        <v>0</v>
      </c>
      <c r="BN119" s="21">
        <f t="shared" si="91"/>
        <v>0</v>
      </c>
      <c r="BO119" s="21">
        <f t="shared" si="91"/>
        <v>0</v>
      </c>
      <c r="BP119" s="21">
        <f t="shared" si="91"/>
        <v>0</v>
      </c>
      <c r="BQ119" s="21">
        <f t="shared" si="91"/>
        <v>0</v>
      </c>
      <c r="BR119" s="21">
        <f t="shared" si="91"/>
        <v>0</v>
      </c>
      <c r="BS119" s="21">
        <f t="shared" si="91"/>
        <v>0</v>
      </c>
      <c r="BT119" s="21">
        <f t="shared" si="91"/>
        <v>0</v>
      </c>
      <c r="BU119" s="21">
        <f t="shared" si="91"/>
        <v>0</v>
      </c>
      <c r="BV119" s="21">
        <f t="shared" si="91"/>
        <v>0</v>
      </c>
      <c r="BW119" s="21">
        <f t="shared" si="89"/>
        <v>0</v>
      </c>
      <c r="BX119" s="21">
        <f t="shared" si="84"/>
        <v>0</v>
      </c>
      <c r="BY119" s="21">
        <f t="shared" si="84"/>
        <v>317661306</v>
      </c>
      <c r="BZ119" s="21">
        <f t="shared" si="84"/>
        <v>0</v>
      </c>
      <c r="CA119" s="21">
        <f t="shared" si="84"/>
        <v>0</v>
      </c>
      <c r="CB119" s="21">
        <f t="shared" si="84"/>
        <v>0</v>
      </c>
      <c r="CC119" s="21">
        <f t="shared" si="84"/>
        <v>0</v>
      </c>
      <c r="CD119" s="21">
        <f t="shared" si="84"/>
        <v>0</v>
      </c>
      <c r="CE119" s="23">
        <f t="shared" si="56"/>
        <v>0.53249679180205078</v>
      </c>
      <c r="CF119" s="21">
        <f t="shared" si="94"/>
        <v>522300564</v>
      </c>
      <c r="CG119" s="21">
        <f>+'[1]Acuerdo PLAN INVERSIÓN 2021'!$L$7500</f>
        <v>11412775</v>
      </c>
      <c r="CH119" s="21">
        <f>+'[1]Acuerdo PLAN INVERSIÓN 2021'!$J$7500</f>
        <v>199386400</v>
      </c>
      <c r="CI119" s="21"/>
      <c r="CJ119" s="21">
        <f>+'[1]Acuerdo PLAN INVERSIÓN 2021'!$M$7500</f>
        <v>281162695</v>
      </c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>
        <f>+'[1]Acuerdo PLAN INVERSIÓN 2021'!$X$7500</f>
        <v>22338694</v>
      </c>
      <c r="CY119" s="21"/>
      <c r="CZ119" s="21"/>
      <c r="DA119" s="21"/>
      <c r="DB119" s="21"/>
      <c r="DC119" s="21">
        <f>+'[5]Acuerdo PLAN INVERSIÓN 2021'!$AF$7093</f>
        <v>8000000</v>
      </c>
      <c r="DD119" s="23">
        <f t="shared" si="57"/>
        <v>0.46750320819794922</v>
      </c>
      <c r="DE119" s="21">
        <f t="shared" si="85"/>
        <v>458551475</v>
      </c>
      <c r="DF119" s="21">
        <f t="shared" si="92"/>
        <v>48587225</v>
      </c>
      <c r="DG119" s="21">
        <f t="shared" si="92"/>
        <v>613600</v>
      </c>
      <c r="DH119" s="21">
        <f t="shared" si="92"/>
        <v>0</v>
      </c>
      <c r="DI119" s="21">
        <f t="shared" si="92"/>
        <v>91689344</v>
      </c>
      <c r="DJ119" s="21">
        <f t="shared" si="92"/>
        <v>0</v>
      </c>
      <c r="DK119" s="21">
        <f t="shared" si="92"/>
        <v>0</v>
      </c>
      <c r="DL119" s="21">
        <f t="shared" si="92"/>
        <v>0</v>
      </c>
      <c r="DM119" s="21">
        <f t="shared" si="92"/>
        <v>0</v>
      </c>
      <c r="DN119" s="21">
        <f t="shared" si="92"/>
        <v>0</v>
      </c>
      <c r="DO119" s="21">
        <f t="shared" si="92"/>
        <v>0</v>
      </c>
      <c r="DP119" s="21">
        <f t="shared" si="92"/>
        <v>0</v>
      </c>
      <c r="DQ119" s="21">
        <f t="shared" si="92"/>
        <v>0</v>
      </c>
      <c r="DR119" s="21">
        <f t="shared" si="92"/>
        <v>0</v>
      </c>
      <c r="DS119" s="21">
        <f t="shared" si="92"/>
        <v>0</v>
      </c>
      <c r="DT119" s="21">
        <f t="shared" si="92"/>
        <v>0</v>
      </c>
      <c r="DU119" s="21">
        <f t="shared" si="90"/>
        <v>0</v>
      </c>
      <c r="DV119" s="21">
        <f t="shared" si="87"/>
        <v>0</v>
      </c>
      <c r="DW119" s="21">
        <f t="shared" si="87"/>
        <v>317661306</v>
      </c>
      <c r="DX119" s="21">
        <f t="shared" si="87"/>
        <v>0</v>
      </c>
      <c r="DY119" s="21">
        <f t="shared" si="87"/>
        <v>0</v>
      </c>
      <c r="DZ119" s="21">
        <f t="shared" si="87"/>
        <v>0</v>
      </c>
      <c r="EA119" s="21">
        <f t="shared" si="87"/>
        <v>0</v>
      </c>
      <c r="EB119" s="21">
        <f t="shared" si="87"/>
        <v>0</v>
      </c>
      <c r="ED119" s="27">
        <f t="shared" si="58"/>
        <v>980852039</v>
      </c>
      <c r="EE119" s="27">
        <f t="shared" si="60"/>
        <v>980852039</v>
      </c>
      <c r="EF119" s="27">
        <f t="shared" si="61"/>
        <v>980852039</v>
      </c>
    </row>
    <row r="120" spans="1:136" ht="21" customHeight="1" x14ac:dyDescent="0.3">
      <c r="A120" s="167"/>
      <c r="B120" s="168" t="s">
        <v>348</v>
      </c>
      <c r="C120" s="44" t="s">
        <v>349</v>
      </c>
      <c r="D120" s="29" t="s">
        <v>350</v>
      </c>
      <c r="E120" s="61">
        <v>510</v>
      </c>
      <c r="F120" s="20" t="s">
        <v>243</v>
      </c>
      <c r="G120" s="21">
        <f t="shared" si="82"/>
        <v>170100000</v>
      </c>
      <c r="H120" s="22">
        <v>220000000</v>
      </c>
      <c r="I120" s="22">
        <f t="shared" si="88"/>
        <v>49900000</v>
      </c>
      <c r="J120" s="41"/>
      <c r="K120" s="21">
        <v>100000000</v>
      </c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>
        <f>80000000-9900000</f>
        <v>70100000</v>
      </c>
      <c r="AB120" s="21"/>
      <c r="AC120" s="21"/>
      <c r="AD120" s="21"/>
      <c r="AE120" s="21"/>
      <c r="AF120" s="21"/>
      <c r="AG120" s="23">
        <f t="shared" si="55"/>
        <v>0.82549789535567308</v>
      </c>
      <c r="AH120" s="21">
        <f t="shared" si="93"/>
        <v>140417192</v>
      </c>
      <c r="AI120" s="21"/>
      <c r="AJ120" s="21">
        <f>+'[1]Acuerdo PLAN INVERSIÓN 2021'!$J$7556</f>
        <v>97577197</v>
      </c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>
        <f>+'[1]Acuerdo PLAN INVERSIÓN 2021'!$X$7556</f>
        <v>42839995</v>
      </c>
      <c r="BA120" s="21"/>
      <c r="BB120" s="21"/>
      <c r="BC120" s="21"/>
      <c r="BD120" s="21"/>
      <c r="BE120" s="21"/>
      <c r="BF120" s="23">
        <f t="shared" si="59"/>
        <v>0.17450210464432692</v>
      </c>
      <c r="BG120" s="21">
        <f t="shared" si="68"/>
        <v>29682808</v>
      </c>
      <c r="BH120" s="21">
        <f t="shared" si="91"/>
        <v>0</v>
      </c>
      <c r="BI120" s="21">
        <f t="shared" si="91"/>
        <v>2422803</v>
      </c>
      <c r="BJ120" s="21">
        <f t="shared" si="91"/>
        <v>0</v>
      </c>
      <c r="BK120" s="21">
        <f t="shared" si="91"/>
        <v>0</v>
      </c>
      <c r="BL120" s="21">
        <f t="shared" si="91"/>
        <v>0</v>
      </c>
      <c r="BM120" s="21">
        <f t="shared" si="91"/>
        <v>0</v>
      </c>
      <c r="BN120" s="21">
        <f t="shared" si="91"/>
        <v>0</v>
      </c>
      <c r="BO120" s="21">
        <f t="shared" si="91"/>
        <v>0</v>
      </c>
      <c r="BP120" s="21">
        <f t="shared" si="91"/>
        <v>0</v>
      </c>
      <c r="BQ120" s="21">
        <f t="shared" si="91"/>
        <v>0</v>
      </c>
      <c r="BR120" s="21">
        <f t="shared" si="91"/>
        <v>0</v>
      </c>
      <c r="BS120" s="21">
        <f t="shared" si="91"/>
        <v>0</v>
      </c>
      <c r="BT120" s="21">
        <f t="shared" si="91"/>
        <v>0</v>
      </c>
      <c r="BU120" s="21">
        <f t="shared" si="91"/>
        <v>0</v>
      </c>
      <c r="BV120" s="21">
        <f t="shared" si="91"/>
        <v>0</v>
      </c>
      <c r="BW120" s="21">
        <f t="shared" si="89"/>
        <v>0</v>
      </c>
      <c r="BX120" s="21">
        <f t="shared" si="84"/>
        <v>0</v>
      </c>
      <c r="BY120" s="21">
        <f t="shared" si="84"/>
        <v>27260005</v>
      </c>
      <c r="BZ120" s="21">
        <f t="shared" si="84"/>
        <v>0</v>
      </c>
      <c r="CA120" s="21">
        <f t="shared" si="84"/>
        <v>0</v>
      </c>
      <c r="CB120" s="21">
        <f t="shared" si="84"/>
        <v>0</v>
      </c>
      <c r="CC120" s="21">
        <f t="shared" si="84"/>
        <v>0</v>
      </c>
      <c r="CD120" s="21">
        <f t="shared" si="84"/>
        <v>0</v>
      </c>
      <c r="CE120" s="23">
        <f t="shared" si="56"/>
        <v>0.82549789535567308</v>
      </c>
      <c r="CF120" s="21">
        <f t="shared" si="94"/>
        <v>140417192</v>
      </c>
      <c r="CG120" s="21"/>
      <c r="CH120" s="21">
        <f>+'[1]Acuerdo PLAN INVERSIÓN 2021'!$J$7556</f>
        <v>97577197</v>
      </c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>
        <f>+'[1]Acuerdo PLAN INVERSIÓN 2021'!$X$7556</f>
        <v>42839995</v>
      </c>
      <c r="CY120" s="21"/>
      <c r="CZ120" s="21"/>
      <c r="DA120" s="21"/>
      <c r="DB120" s="21"/>
      <c r="DC120" s="21"/>
      <c r="DD120" s="23">
        <f t="shared" si="57"/>
        <v>0.17450210464432692</v>
      </c>
      <c r="DE120" s="21">
        <f t="shared" si="85"/>
        <v>29682808</v>
      </c>
      <c r="DF120" s="21">
        <f t="shared" si="92"/>
        <v>0</v>
      </c>
      <c r="DG120" s="21">
        <f t="shared" si="92"/>
        <v>2422803</v>
      </c>
      <c r="DH120" s="21">
        <f t="shared" si="92"/>
        <v>0</v>
      </c>
      <c r="DI120" s="21">
        <f t="shared" si="92"/>
        <v>0</v>
      </c>
      <c r="DJ120" s="21">
        <f t="shared" si="92"/>
        <v>0</v>
      </c>
      <c r="DK120" s="21">
        <f t="shared" si="92"/>
        <v>0</v>
      </c>
      <c r="DL120" s="21">
        <f t="shared" si="92"/>
        <v>0</v>
      </c>
      <c r="DM120" s="21">
        <f t="shared" si="92"/>
        <v>0</v>
      </c>
      <c r="DN120" s="21">
        <f t="shared" si="92"/>
        <v>0</v>
      </c>
      <c r="DO120" s="21">
        <f t="shared" si="92"/>
        <v>0</v>
      </c>
      <c r="DP120" s="21">
        <f t="shared" si="92"/>
        <v>0</v>
      </c>
      <c r="DQ120" s="21">
        <f t="shared" si="92"/>
        <v>0</v>
      </c>
      <c r="DR120" s="21">
        <f t="shared" si="92"/>
        <v>0</v>
      </c>
      <c r="DS120" s="21">
        <f t="shared" si="92"/>
        <v>0</v>
      </c>
      <c r="DT120" s="21">
        <f t="shared" si="92"/>
        <v>0</v>
      </c>
      <c r="DU120" s="21">
        <f t="shared" si="90"/>
        <v>0</v>
      </c>
      <c r="DV120" s="21">
        <f t="shared" si="87"/>
        <v>0</v>
      </c>
      <c r="DW120" s="21">
        <f t="shared" si="87"/>
        <v>27260005</v>
      </c>
      <c r="DX120" s="21">
        <f t="shared" si="87"/>
        <v>0</v>
      </c>
      <c r="DY120" s="21">
        <f t="shared" si="87"/>
        <v>0</v>
      </c>
      <c r="DZ120" s="21">
        <f t="shared" si="87"/>
        <v>0</v>
      </c>
      <c r="EA120" s="21">
        <f t="shared" si="87"/>
        <v>0</v>
      </c>
      <c r="EB120" s="21">
        <f t="shared" si="87"/>
        <v>0</v>
      </c>
      <c r="ED120" s="27">
        <f t="shared" si="58"/>
        <v>170100000</v>
      </c>
      <c r="EE120" s="27">
        <f t="shared" si="60"/>
        <v>170100000</v>
      </c>
      <c r="EF120" s="27">
        <f t="shared" si="61"/>
        <v>170100000</v>
      </c>
    </row>
    <row r="121" spans="1:136" ht="31.5" customHeight="1" x14ac:dyDescent="0.3">
      <c r="A121" s="167"/>
      <c r="B121" s="168"/>
      <c r="C121" s="44" t="s">
        <v>351</v>
      </c>
      <c r="D121" s="29" t="s">
        <v>352</v>
      </c>
      <c r="E121" s="61">
        <v>510</v>
      </c>
      <c r="F121" s="20" t="s">
        <v>243</v>
      </c>
      <c r="G121" s="21">
        <f t="shared" si="82"/>
        <v>5807000</v>
      </c>
      <c r="H121" s="22">
        <v>80000000</v>
      </c>
      <c r="I121" s="22">
        <f t="shared" si="88"/>
        <v>74193000</v>
      </c>
      <c r="J121" s="41"/>
      <c r="K121" s="21">
        <f>20000000-10000000-4193000</f>
        <v>5807000</v>
      </c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3">
        <f t="shared" si="55"/>
        <v>0.95516893404511793</v>
      </c>
      <c r="AH121" s="21">
        <f t="shared" si="93"/>
        <v>5546666</v>
      </c>
      <c r="AI121" s="21"/>
      <c r="AJ121" s="21">
        <f>+'[1]Acuerdo PLAN INVERSIÓN 2021'!$J$7589</f>
        <v>5546666</v>
      </c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3">
        <f t="shared" si="59"/>
        <v>4.4831065954882066E-2</v>
      </c>
      <c r="BG121" s="21">
        <f t="shared" si="68"/>
        <v>260334</v>
      </c>
      <c r="BH121" s="21">
        <f t="shared" si="91"/>
        <v>0</v>
      </c>
      <c r="BI121" s="21">
        <f t="shared" si="91"/>
        <v>260334</v>
      </c>
      <c r="BJ121" s="21">
        <f t="shared" si="91"/>
        <v>0</v>
      </c>
      <c r="BK121" s="21">
        <f t="shared" si="91"/>
        <v>0</v>
      </c>
      <c r="BL121" s="21">
        <f t="shared" si="91"/>
        <v>0</v>
      </c>
      <c r="BM121" s="21">
        <f t="shared" si="91"/>
        <v>0</v>
      </c>
      <c r="BN121" s="21">
        <f t="shared" si="91"/>
        <v>0</v>
      </c>
      <c r="BO121" s="21">
        <f t="shared" si="91"/>
        <v>0</v>
      </c>
      <c r="BP121" s="21">
        <f t="shared" si="91"/>
        <v>0</v>
      </c>
      <c r="BQ121" s="21">
        <f t="shared" si="91"/>
        <v>0</v>
      </c>
      <c r="BR121" s="21">
        <f t="shared" si="91"/>
        <v>0</v>
      </c>
      <c r="BS121" s="21">
        <f t="shared" si="91"/>
        <v>0</v>
      </c>
      <c r="BT121" s="21">
        <f t="shared" si="91"/>
        <v>0</v>
      </c>
      <c r="BU121" s="21">
        <f t="shared" si="91"/>
        <v>0</v>
      </c>
      <c r="BV121" s="21">
        <f t="shared" si="91"/>
        <v>0</v>
      </c>
      <c r="BW121" s="21">
        <f t="shared" si="89"/>
        <v>0</v>
      </c>
      <c r="BX121" s="21">
        <f t="shared" si="84"/>
        <v>0</v>
      </c>
      <c r="BY121" s="21">
        <f t="shared" si="84"/>
        <v>0</v>
      </c>
      <c r="BZ121" s="21">
        <f t="shared" si="84"/>
        <v>0</v>
      </c>
      <c r="CA121" s="21">
        <f t="shared" si="84"/>
        <v>0</v>
      </c>
      <c r="CB121" s="21">
        <f t="shared" si="84"/>
        <v>0</v>
      </c>
      <c r="CC121" s="21">
        <f t="shared" si="84"/>
        <v>0</v>
      </c>
      <c r="CD121" s="21">
        <f t="shared" si="84"/>
        <v>0</v>
      </c>
      <c r="CE121" s="23">
        <f t="shared" si="56"/>
        <v>0.95516893404511793</v>
      </c>
      <c r="CF121" s="21">
        <f t="shared" si="94"/>
        <v>5546666</v>
      </c>
      <c r="CG121" s="21"/>
      <c r="CH121" s="21">
        <f>+'[1]Acuerdo PLAN INVERSIÓN 2021'!$H$7586</f>
        <v>5546666</v>
      </c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3">
        <f t="shared" si="57"/>
        <v>4.4831065954882066E-2</v>
      </c>
      <c r="DE121" s="21">
        <f t="shared" si="85"/>
        <v>260334</v>
      </c>
      <c r="DF121" s="21">
        <f t="shared" si="92"/>
        <v>0</v>
      </c>
      <c r="DG121" s="21">
        <f t="shared" si="92"/>
        <v>260334</v>
      </c>
      <c r="DH121" s="21">
        <f t="shared" si="92"/>
        <v>0</v>
      </c>
      <c r="DI121" s="21">
        <f t="shared" si="92"/>
        <v>0</v>
      </c>
      <c r="DJ121" s="21">
        <f t="shared" si="92"/>
        <v>0</v>
      </c>
      <c r="DK121" s="21">
        <f t="shared" si="92"/>
        <v>0</v>
      </c>
      <c r="DL121" s="21">
        <f t="shared" si="92"/>
        <v>0</v>
      </c>
      <c r="DM121" s="21">
        <f t="shared" si="92"/>
        <v>0</v>
      </c>
      <c r="DN121" s="21">
        <f t="shared" si="92"/>
        <v>0</v>
      </c>
      <c r="DO121" s="21">
        <f t="shared" si="92"/>
        <v>0</v>
      </c>
      <c r="DP121" s="21">
        <f t="shared" si="92"/>
        <v>0</v>
      </c>
      <c r="DQ121" s="21">
        <f t="shared" si="92"/>
        <v>0</v>
      </c>
      <c r="DR121" s="21">
        <f t="shared" si="92"/>
        <v>0</v>
      </c>
      <c r="DS121" s="21">
        <f t="shared" si="92"/>
        <v>0</v>
      </c>
      <c r="DT121" s="21">
        <f t="shared" si="92"/>
        <v>0</v>
      </c>
      <c r="DU121" s="21">
        <f t="shared" si="90"/>
        <v>0</v>
      </c>
      <c r="DV121" s="21">
        <f t="shared" si="87"/>
        <v>0</v>
      </c>
      <c r="DW121" s="21">
        <f t="shared" si="87"/>
        <v>0</v>
      </c>
      <c r="DX121" s="21">
        <f t="shared" si="87"/>
        <v>0</v>
      </c>
      <c r="DY121" s="21">
        <f t="shared" si="87"/>
        <v>0</v>
      </c>
      <c r="DZ121" s="21">
        <f t="shared" si="87"/>
        <v>0</v>
      </c>
      <c r="EA121" s="21">
        <f t="shared" si="87"/>
        <v>0</v>
      </c>
      <c r="EB121" s="21">
        <f t="shared" si="87"/>
        <v>0</v>
      </c>
      <c r="ED121" s="27">
        <f t="shared" si="58"/>
        <v>5807000</v>
      </c>
      <c r="EE121" s="27">
        <f t="shared" si="60"/>
        <v>5807000</v>
      </c>
      <c r="EF121" s="27">
        <f t="shared" si="61"/>
        <v>5807000</v>
      </c>
    </row>
    <row r="122" spans="1:136" ht="21" customHeight="1" x14ac:dyDescent="0.3">
      <c r="A122" s="167"/>
      <c r="B122" s="168"/>
      <c r="C122" s="44" t="s">
        <v>353</v>
      </c>
      <c r="D122" s="29" t="s">
        <v>354</v>
      </c>
      <c r="E122" s="61">
        <v>510</v>
      </c>
      <c r="F122" s="20" t="s">
        <v>243</v>
      </c>
      <c r="G122" s="21">
        <f t="shared" si="82"/>
        <v>190000000</v>
      </c>
      <c r="H122" s="22">
        <v>280000000</v>
      </c>
      <c r="I122" s="22">
        <f t="shared" si="88"/>
        <v>90000000</v>
      </c>
      <c r="J122" s="41"/>
      <c r="K122" s="21">
        <v>100000000</v>
      </c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>
        <v>90000000</v>
      </c>
      <c r="AB122" s="21"/>
      <c r="AC122" s="21"/>
      <c r="AD122" s="21"/>
      <c r="AE122" s="21"/>
      <c r="AF122" s="21"/>
      <c r="AG122" s="23">
        <f t="shared" si="55"/>
        <v>0.93116412631578949</v>
      </c>
      <c r="AH122" s="21">
        <f t="shared" si="93"/>
        <v>176921184</v>
      </c>
      <c r="AI122" s="21"/>
      <c r="AJ122" s="21">
        <f>+'[1]Acuerdo PLAN INVERSIÓN 2021'!$J$7594</f>
        <v>90046667</v>
      </c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>
        <f>+'[1]Acuerdo PLAN INVERSIÓN 2021'!$X$7594</f>
        <v>86874517</v>
      </c>
      <c r="BA122" s="21"/>
      <c r="BB122" s="21"/>
      <c r="BC122" s="21"/>
      <c r="BD122" s="21"/>
      <c r="BE122" s="21"/>
      <c r="BF122" s="23">
        <f t="shared" si="59"/>
        <v>6.8835873684210513E-2</v>
      </c>
      <c r="BG122" s="21">
        <f t="shared" si="68"/>
        <v>13078816</v>
      </c>
      <c r="BH122" s="21">
        <f t="shared" si="91"/>
        <v>0</v>
      </c>
      <c r="BI122" s="21">
        <f t="shared" si="91"/>
        <v>9953333</v>
      </c>
      <c r="BJ122" s="21">
        <f t="shared" si="91"/>
        <v>0</v>
      </c>
      <c r="BK122" s="21">
        <f t="shared" si="91"/>
        <v>0</v>
      </c>
      <c r="BL122" s="21">
        <f t="shared" si="91"/>
        <v>0</v>
      </c>
      <c r="BM122" s="21">
        <f t="shared" si="91"/>
        <v>0</v>
      </c>
      <c r="BN122" s="21">
        <f t="shared" si="91"/>
        <v>0</v>
      </c>
      <c r="BO122" s="21">
        <f t="shared" si="91"/>
        <v>0</v>
      </c>
      <c r="BP122" s="21">
        <f t="shared" si="91"/>
        <v>0</v>
      </c>
      <c r="BQ122" s="21">
        <f t="shared" si="91"/>
        <v>0</v>
      </c>
      <c r="BR122" s="21">
        <f t="shared" si="91"/>
        <v>0</v>
      </c>
      <c r="BS122" s="21">
        <f t="shared" si="91"/>
        <v>0</v>
      </c>
      <c r="BT122" s="21">
        <f t="shared" si="91"/>
        <v>0</v>
      </c>
      <c r="BU122" s="21">
        <f t="shared" si="91"/>
        <v>0</v>
      </c>
      <c r="BV122" s="21">
        <f t="shared" si="91"/>
        <v>0</v>
      </c>
      <c r="BW122" s="21">
        <f t="shared" si="89"/>
        <v>0</v>
      </c>
      <c r="BX122" s="21">
        <f t="shared" si="84"/>
        <v>0</v>
      </c>
      <c r="BY122" s="21">
        <f t="shared" si="84"/>
        <v>3125483</v>
      </c>
      <c r="BZ122" s="21">
        <f t="shared" si="84"/>
        <v>0</v>
      </c>
      <c r="CA122" s="21">
        <f t="shared" si="84"/>
        <v>0</v>
      </c>
      <c r="CB122" s="21">
        <f t="shared" si="84"/>
        <v>0</v>
      </c>
      <c r="CC122" s="21">
        <f t="shared" si="84"/>
        <v>0</v>
      </c>
      <c r="CD122" s="21">
        <f t="shared" si="84"/>
        <v>0</v>
      </c>
      <c r="CE122" s="23">
        <f t="shared" si="56"/>
        <v>0.93116412631578949</v>
      </c>
      <c r="CF122" s="21">
        <f t="shared" si="94"/>
        <v>176921184</v>
      </c>
      <c r="CG122" s="21"/>
      <c r="CH122" s="21">
        <f>+'[1]Acuerdo PLAN INVERSIÓN 2021'!$J$7594</f>
        <v>90046667</v>
      </c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>
        <f>+'[1]Acuerdo PLAN INVERSIÓN 2021'!$X$7594</f>
        <v>86874517</v>
      </c>
      <c r="CY122" s="21"/>
      <c r="CZ122" s="21"/>
      <c r="DA122" s="21"/>
      <c r="DB122" s="21"/>
      <c r="DC122" s="21"/>
      <c r="DD122" s="23">
        <f t="shared" si="57"/>
        <v>6.8835873684210513E-2</v>
      </c>
      <c r="DE122" s="21">
        <f t="shared" si="85"/>
        <v>13078816</v>
      </c>
      <c r="DF122" s="21">
        <f t="shared" si="92"/>
        <v>0</v>
      </c>
      <c r="DG122" s="21">
        <f t="shared" si="92"/>
        <v>9953333</v>
      </c>
      <c r="DH122" s="21">
        <f t="shared" si="92"/>
        <v>0</v>
      </c>
      <c r="DI122" s="21">
        <f t="shared" si="92"/>
        <v>0</v>
      </c>
      <c r="DJ122" s="21">
        <f t="shared" si="92"/>
        <v>0</v>
      </c>
      <c r="DK122" s="21">
        <f t="shared" si="92"/>
        <v>0</v>
      </c>
      <c r="DL122" s="21">
        <f t="shared" si="92"/>
        <v>0</v>
      </c>
      <c r="DM122" s="21">
        <f t="shared" si="92"/>
        <v>0</v>
      </c>
      <c r="DN122" s="21">
        <f t="shared" si="92"/>
        <v>0</v>
      </c>
      <c r="DO122" s="21">
        <f t="shared" si="92"/>
        <v>0</v>
      </c>
      <c r="DP122" s="21">
        <f t="shared" si="92"/>
        <v>0</v>
      </c>
      <c r="DQ122" s="21">
        <f t="shared" si="92"/>
        <v>0</v>
      </c>
      <c r="DR122" s="21">
        <f t="shared" si="92"/>
        <v>0</v>
      </c>
      <c r="DS122" s="21">
        <f t="shared" si="92"/>
        <v>0</v>
      </c>
      <c r="DT122" s="21">
        <f t="shared" si="92"/>
        <v>0</v>
      </c>
      <c r="DU122" s="21">
        <f t="shared" si="90"/>
        <v>0</v>
      </c>
      <c r="DV122" s="21">
        <f t="shared" si="87"/>
        <v>0</v>
      </c>
      <c r="DW122" s="21">
        <f t="shared" si="87"/>
        <v>3125483</v>
      </c>
      <c r="DX122" s="21">
        <f t="shared" si="87"/>
        <v>0</v>
      </c>
      <c r="DY122" s="21">
        <f t="shared" si="87"/>
        <v>0</v>
      </c>
      <c r="DZ122" s="21">
        <f t="shared" si="87"/>
        <v>0</v>
      </c>
      <c r="EA122" s="21">
        <f t="shared" si="87"/>
        <v>0</v>
      </c>
      <c r="EB122" s="21">
        <f t="shared" si="87"/>
        <v>0</v>
      </c>
      <c r="ED122" s="27">
        <f t="shared" si="58"/>
        <v>190000000</v>
      </c>
      <c r="EE122" s="27">
        <f t="shared" si="60"/>
        <v>190000000</v>
      </c>
      <c r="EF122" s="27">
        <f t="shared" si="61"/>
        <v>190000000</v>
      </c>
    </row>
    <row r="123" spans="1:136" ht="21.75" customHeight="1" x14ac:dyDescent="0.3">
      <c r="A123" s="167"/>
      <c r="B123" s="168"/>
      <c r="C123" s="44" t="s">
        <v>355</v>
      </c>
      <c r="D123" s="29" t="s">
        <v>356</v>
      </c>
      <c r="E123" s="61">
        <v>510</v>
      </c>
      <c r="F123" s="20" t="s">
        <v>243</v>
      </c>
      <c r="G123" s="21">
        <f t="shared" si="82"/>
        <v>194900000</v>
      </c>
      <c r="H123" s="22">
        <v>200000000</v>
      </c>
      <c r="I123" s="22">
        <f t="shared" si="88"/>
        <v>5100000</v>
      </c>
      <c r="J123" s="41"/>
      <c r="K123" s="21">
        <f>90000000+10000000</f>
        <v>100000000</v>
      </c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>
        <f>75000000+9900000</f>
        <v>84900000</v>
      </c>
      <c r="AB123" s="21">
        <v>10000000</v>
      </c>
      <c r="AC123" s="21"/>
      <c r="AD123" s="21"/>
      <c r="AE123" s="21"/>
      <c r="AF123" s="21"/>
      <c r="AG123" s="23">
        <f t="shared" si="55"/>
        <v>0.97456015392508977</v>
      </c>
      <c r="AH123" s="21">
        <f t="shared" si="93"/>
        <v>189941774</v>
      </c>
      <c r="AI123" s="21"/>
      <c r="AJ123" s="21">
        <f>+'[1]Acuerdo PLAN INVERSIÓN 2021'!$J$7632</f>
        <v>99986417</v>
      </c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>
        <f>+'[1]Acuerdo PLAN INVERSIÓN 2021'!$X$7632</f>
        <v>79955357</v>
      </c>
      <c r="BA123" s="21">
        <f>+'[8]Acuerdo PLAN INVERSIÓN 2021'!$Y$6182</f>
        <v>10000000</v>
      </c>
      <c r="BB123" s="21"/>
      <c r="BC123" s="21"/>
      <c r="BD123" s="21"/>
      <c r="BE123" s="21"/>
      <c r="BF123" s="23">
        <f t="shared" si="59"/>
        <v>2.5439846074910233E-2</v>
      </c>
      <c r="BG123" s="21">
        <f t="shared" si="68"/>
        <v>4958226</v>
      </c>
      <c r="BH123" s="21">
        <f t="shared" si="91"/>
        <v>0</v>
      </c>
      <c r="BI123" s="21">
        <f t="shared" si="91"/>
        <v>13583</v>
      </c>
      <c r="BJ123" s="21">
        <f t="shared" si="91"/>
        <v>0</v>
      </c>
      <c r="BK123" s="21">
        <f t="shared" si="91"/>
        <v>0</v>
      </c>
      <c r="BL123" s="21">
        <f t="shared" si="91"/>
        <v>0</v>
      </c>
      <c r="BM123" s="21">
        <f t="shared" si="91"/>
        <v>0</v>
      </c>
      <c r="BN123" s="21">
        <f t="shared" si="91"/>
        <v>0</v>
      </c>
      <c r="BO123" s="21">
        <f t="shared" si="91"/>
        <v>0</v>
      </c>
      <c r="BP123" s="21">
        <f t="shared" si="91"/>
        <v>0</v>
      </c>
      <c r="BQ123" s="21">
        <f t="shared" si="91"/>
        <v>0</v>
      </c>
      <c r="BR123" s="21">
        <f t="shared" si="91"/>
        <v>0</v>
      </c>
      <c r="BS123" s="21">
        <f t="shared" si="91"/>
        <v>0</v>
      </c>
      <c r="BT123" s="21">
        <f t="shared" si="91"/>
        <v>0</v>
      </c>
      <c r="BU123" s="21">
        <f t="shared" si="91"/>
        <v>0</v>
      </c>
      <c r="BV123" s="21">
        <f t="shared" si="91"/>
        <v>0</v>
      </c>
      <c r="BW123" s="21">
        <f t="shared" si="89"/>
        <v>0</v>
      </c>
      <c r="BX123" s="21">
        <f t="shared" si="84"/>
        <v>0</v>
      </c>
      <c r="BY123" s="21">
        <f t="shared" si="84"/>
        <v>4944643</v>
      </c>
      <c r="BZ123" s="21">
        <f t="shared" si="84"/>
        <v>0</v>
      </c>
      <c r="CA123" s="21">
        <f t="shared" si="84"/>
        <v>0</v>
      </c>
      <c r="CB123" s="21">
        <f t="shared" si="84"/>
        <v>0</v>
      </c>
      <c r="CC123" s="21">
        <f t="shared" si="84"/>
        <v>0</v>
      </c>
      <c r="CD123" s="21">
        <f t="shared" si="84"/>
        <v>0</v>
      </c>
      <c r="CE123" s="23">
        <f t="shared" si="56"/>
        <v>0.97456015392508977</v>
      </c>
      <c r="CF123" s="21">
        <f t="shared" si="94"/>
        <v>189941774</v>
      </c>
      <c r="CG123" s="21"/>
      <c r="CH123" s="21">
        <f>+'[1]Acuerdo PLAN INVERSIÓN 2021'!$J$7632</f>
        <v>99986417</v>
      </c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>
        <f>+'[1]Acuerdo PLAN INVERSIÓN 2021'!$X$7632</f>
        <v>79955357</v>
      </c>
      <c r="CY123" s="21">
        <f>+'[8]Acuerdo PLAN INVERSIÓN 2021'!$Y$6182</f>
        <v>10000000</v>
      </c>
      <c r="CZ123" s="21"/>
      <c r="DA123" s="21"/>
      <c r="DB123" s="21"/>
      <c r="DC123" s="21"/>
      <c r="DD123" s="23">
        <f t="shared" si="57"/>
        <v>2.5439846074910233E-2</v>
      </c>
      <c r="DE123" s="21">
        <f t="shared" si="85"/>
        <v>4958226</v>
      </c>
      <c r="DF123" s="21">
        <f t="shared" si="92"/>
        <v>0</v>
      </c>
      <c r="DG123" s="21">
        <f t="shared" si="92"/>
        <v>13583</v>
      </c>
      <c r="DH123" s="21">
        <f t="shared" si="92"/>
        <v>0</v>
      </c>
      <c r="DI123" s="21">
        <f t="shared" si="92"/>
        <v>0</v>
      </c>
      <c r="DJ123" s="21">
        <f t="shared" si="92"/>
        <v>0</v>
      </c>
      <c r="DK123" s="21">
        <f t="shared" si="92"/>
        <v>0</v>
      </c>
      <c r="DL123" s="21">
        <f t="shared" si="92"/>
        <v>0</v>
      </c>
      <c r="DM123" s="21">
        <f t="shared" si="92"/>
        <v>0</v>
      </c>
      <c r="DN123" s="21">
        <f t="shared" si="92"/>
        <v>0</v>
      </c>
      <c r="DO123" s="21">
        <f t="shared" si="92"/>
        <v>0</v>
      </c>
      <c r="DP123" s="21">
        <f t="shared" si="92"/>
        <v>0</v>
      </c>
      <c r="DQ123" s="21">
        <f t="shared" si="92"/>
        <v>0</v>
      </c>
      <c r="DR123" s="21">
        <f t="shared" si="92"/>
        <v>0</v>
      </c>
      <c r="DS123" s="21">
        <f t="shared" si="92"/>
        <v>0</v>
      </c>
      <c r="DT123" s="21">
        <f t="shared" si="92"/>
        <v>0</v>
      </c>
      <c r="DU123" s="21">
        <f t="shared" si="90"/>
        <v>0</v>
      </c>
      <c r="DV123" s="21">
        <f t="shared" si="87"/>
        <v>0</v>
      </c>
      <c r="DW123" s="21">
        <f t="shared" si="87"/>
        <v>4944643</v>
      </c>
      <c r="DX123" s="21">
        <f t="shared" si="87"/>
        <v>0</v>
      </c>
      <c r="DY123" s="21">
        <f t="shared" si="87"/>
        <v>0</v>
      </c>
      <c r="DZ123" s="21">
        <f t="shared" si="87"/>
        <v>0</v>
      </c>
      <c r="EA123" s="21">
        <f t="shared" si="87"/>
        <v>0</v>
      </c>
      <c r="EB123" s="21">
        <f t="shared" si="87"/>
        <v>0</v>
      </c>
      <c r="ED123" s="27">
        <f t="shared" si="58"/>
        <v>194900000</v>
      </c>
      <c r="EE123" s="27">
        <f t="shared" si="60"/>
        <v>194900000</v>
      </c>
      <c r="EF123" s="27">
        <f t="shared" si="61"/>
        <v>194900000</v>
      </c>
    </row>
    <row r="124" spans="1:136" ht="32.4" customHeight="1" x14ac:dyDescent="0.3">
      <c r="A124" s="167"/>
      <c r="B124" s="168"/>
      <c r="C124" s="44" t="s">
        <v>357</v>
      </c>
      <c r="D124" s="29" t="s">
        <v>358</v>
      </c>
      <c r="E124" s="61">
        <v>510</v>
      </c>
      <c r="F124" s="20" t="s">
        <v>243</v>
      </c>
      <c r="G124" s="21">
        <f t="shared" si="82"/>
        <v>90000000</v>
      </c>
      <c r="H124" s="22">
        <v>200000000</v>
      </c>
      <c r="I124" s="22">
        <f t="shared" si="88"/>
        <v>110000000</v>
      </c>
      <c r="J124" s="41"/>
      <c r="K124" s="21">
        <v>60000000</v>
      </c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>
        <f>30000000</f>
        <v>30000000</v>
      </c>
      <c r="AC124" s="21"/>
      <c r="AD124" s="21"/>
      <c r="AE124" s="21"/>
      <c r="AF124" s="21"/>
      <c r="AG124" s="23">
        <f t="shared" si="55"/>
        <v>0.9870370444444444</v>
      </c>
      <c r="AH124" s="21">
        <f t="shared" si="93"/>
        <v>88833334</v>
      </c>
      <c r="AI124" s="21"/>
      <c r="AJ124" s="21">
        <f>+'[1]Acuerdo PLAN INVERSIÓN 2021'!$J$7700</f>
        <v>59500000</v>
      </c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>
        <f>+'[1]Acuerdo PLAN INVERSIÓN 2021'!$Y$7700</f>
        <v>29333334</v>
      </c>
      <c r="BB124" s="21"/>
      <c r="BC124" s="21"/>
      <c r="BD124" s="21"/>
      <c r="BE124" s="21"/>
      <c r="BF124" s="23">
        <f t="shared" si="59"/>
        <v>1.29629555555556E-2</v>
      </c>
      <c r="BG124" s="21">
        <f t="shared" si="68"/>
        <v>1166666</v>
      </c>
      <c r="BH124" s="21">
        <f t="shared" si="91"/>
        <v>0</v>
      </c>
      <c r="BI124" s="21">
        <f t="shared" si="91"/>
        <v>500000</v>
      </c>
      <c r="BJ124" s="21">
        <f t="shared" si="91"/>
        <v>0</v>
      </c>
      <c r="BK124" s="21">
        <f t="shared" si="91"/>
        <v>0</v>
      </c>
      <c r="BL124" s="21">
        <f t="shared" si="91"/>
        <v>0</v>
      </c>
      <c r="BM124" s="21">
        <f t="shared" si="91"/>
        <v>0</v>
      </c>
      <c r="BN124" s="21">
        <f t="shared" si="91"/>
        <v>0</v>
      </c>
      <c r="BO124" s="21">
        <f t="shared" si="91"/>
        <v>0</v>
      </c>
      <c r="BP124" s="21">
        <f t="shared" si="91"/>
        <v>0</v>
      </c>
      <c r="BQ124" s="21">
        <f t="shared" si="91"/>
        <v>0</v>
      </c>
      <c r="BR124" s="21">
        <f t="shared" si="91"/>
        <v>0</v>
      </c>
      <c r="BS124" s="21">
        <f t="shared" si="91"/>
        <v>0</v>
      </c>
      <c r="BT124" s="21">
        <f t="shared" si="91"/>
        <v>0</v>
      </c>
      <c r="BU124" s="21">
        <f t="shared" si="91"/>
        <v>0</v>
      </c>
      <c r="BV124" s="21">
        <f t="shared" si="91"/>
        <v>0</v>
      </c>
      <c r="BW124" s="21">
        <f t="shared" si="89"/>
        <v>0</v>
      </c>
      <c r="BX124" s="21">
        <f t="shared" si="84"/>
        <v>0</v>
      </c>
      <c r="BY124" s="21">
        <f t="shared" si="84"/>
        <v>0</v>
      </c>
      <c r="BZ124" s="21">
        <f t="shared" si="84"/>
        <v>666666</v>
      </c>
      <c r="CA124" s="21">
        <f t="shared" si="84"/>
        <v>0</v>
      </c>
      <c r="CB124" s="21">
        <f t="shared" si="84"/>
        <v>0</v>
      </c>
      <c r="CC124" s="21">
        <f t="shared" si="84"/>
        <v>0</v>
      </c>
      <c r="CD124" s="21">
        <f t="shared" si="84"/>
        <v>0</v>
      </c>
      <c r="CE124" s="23">
        <f t="shared" si="56"/>
        <v>0.9870370444444444</v>
      </c>
      <c r="CF124" s="21">
        <f t="shared" si="94"/>
        <v>88833334</v>
      </c>
      <c r="CG124" s="21"/>
      <c r="CH124" s="21">
        <f>+'[1]Acuerdo PLAN INVERSIÓN 2021'!$J$7700</f>
        <v>59500000</v>
      </c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>
        <f>+'[1]Acuerdo PLAN INVERSIÓN 2021'!$Y$7700</f>
        <v>29333334</v>
      </c>
      <c r="CZ124" s="21"/>
      <c r="DA124" s="21"/>
      <c r="DB124" s="21"/>
      <c r="DC124" s="21"/>
      <c r="DD124" s="23">
        <f t="shared" si="57"/>
        <v>1.29629555555556E-2</v>
      </c>
      <c r="DE124" s="21">
        <f t="shared" si="85"/>
        <v>1166666</v>
      </c>
      <c r="DF124" s="21">
        <f t="shared" si="92"/>
        <v>0</v>
      </c>
      <c r="DG124" s="21">
        <f t="shared" si="92"/>
        <v>500000</v>
      </c>
      <c r="DH124" s="21">
        <f t="shared" si="92"/>
        <v>0</v>
      </c>
      <c r="DI124" s="21">
        <f t="shared" si="92"/>
        <v>0</v>
      </c>
      <c r="DJ124" s="21">
        <f t="shared" si="92"/>
        <v>0</v>
      </c>
      <c r="DK124" s="21">
        <f t="shared" si="92"/>
        <v>0</v>
      </c>
      <c r="DL124" s="21">
        <f t="shared" si="92"/>
        <v>0</v>
      </c>
      <c r="DM124" s="21">
        <f t="shared" si="92"/>
        <v>0</v>
      </c>
      <c r="DN124" s="21">
        <f t="shared" si="92"/>
        <v>0</v>
      </c>
      <c r="DO124" s="21">
        <f t="shared" si="92"/>
        <v>0</v>
      </c>
      <c r="DP124" s="21">
        <f t="shared" si="92"/>
        <v>0</v>
      </c>
      <c r="DQ124" s="21">
        <f t="shared" si="92"/>
        <v>0</v>
      </c>
      <c r="DR124" s="21">
        <f t="shared" si="92"/>
        <v>0</v>
      </c>
      <c r="DS124" s="21">
        <f t="shared" si="92"/>
        <v>0</v>
      </c>
      <c r="DT124" s="21">
        <f t="shared" si="92"/>
        <v>0</v>
      </c>
      <c r="DU124" s="21">
        <f t="shared" si="90"/>
        <v>0</v>
      </c>
      <c r="DV124" s="21">
        <f t="shared" si="87"/>
        <v>0</v>
      </c>
      <c r="DW124" s="21">
        <f t="shared" si="87"/>
        <v>0</v>
      </c>
      <c r="DX124" s="21">
        <f t="shared" si="87"/>
        <v>666666</v>
      </c>
      <c r="DY124" s="21">
        <f t="shared" si="87"/>
        <v>0</v>
      </c>
      <c r="DZ124" s="21">
        <f t="shared" si="87"/>
        <v>0</v>
      </c>
      <c r="EA124" s="21">
        <f t="shared" si="87"/>
        <v>0</v>
      </c>
      <c r="EB124" s="21">
        <f t="shared" si="87"/>
        <v>0</v>
      </c>
      <c r="ED124" s="27">
        <f t="shared" si="58"/>
        <v>90000000</v>
      </c>
      <c r="EE124" s="27">
        <f t="shared" si="60"/>
        <v>90000000</v>
      </c>
      <c r="EF124" s="27">
        <f t="shared" si="61"/>
        <v>90000000</v>
      </c>
    </row>
    <row r="125" spans="1:136" ht="27.75" customHeight="1" x14ac:dyDescent="0.3">
      <c r="A125" s="167"/>
      <c r="B125" s="168"/>
      <c r="C125" s="44" t="s">
        <v>359</v>
      </c>
      <c r="D125" s="29" t="s">
        <v>360</v>
      </c>
      <c r="E125" s="61">
        <v>510</v>
      </c>
      <c r="F125" s="20" t="s">
        <v>361</v>
      </c>
      <c r="G125" s="21">
        <f t="shared" si="82"/>
        <v>22700000</v>
      </c>
      <c r="H125" s="22">
        <v>200000000</v>
      </c>
      <c r="I125" s="22">
        <f t="shared" si="88"/>
        <v>177300000</v>
      </c>
      <c r="J125" s="41"/>
      <c r="K125" s="21">
        <f>30000000-23300000</f>
        <v>6700000</v>
      </c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>
        <f>8000000+3200000+3200000+1600000</f>
        <v>16000000</v>
      </c>
      <c r="AG125" s="23">
        <f t="shared" si="55"/>
        <v>0.96035242290748901</v>
      </c>
      <c r="AH125" s="21">
        <f t="shared" si="93"/>
        <v>21800000</v>
      </c>
      <c r="AI125" s="21"/>
      <c r="AJ125" s="21">
        <f>+'[1]Acuerdo PLAN INVERSIÓN 2021'!$J$7715</f>
        <v>5800000</v>
      </c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>
        <f>+'[3]Acuerdo PLAN INVERSIÓN 2021'!$AF$5214+'[5]Acuerdo PLAN INVERSIÓN 2021'!$G$7300</f>
        <v>16000000</v>
      </c>
      <c r="BF125" s="23">
        <f t="shared" si="59"/>
        <v>3.9647577092510988E-2</v>
      </c>
      <c r="BG125" s="21">
        <f t="shared" si="68"/>
        <v>900000</v>
      </c>
      <c r="BH125" s="21">
        <f t="shared" si="91"/>
        <v>0</v>
      </c>
      <c r="BI125" s="21">
        <f t="shared" si="91"/>
        <v>900000</v>
      </c>
      <c r="BJ125" s="21">
        <f t="shared" si="91"/>
        <v>0</v>
      </c>
      <c r="BK125" s="21">
        <f t="shared" si="91"/>
        <v>0</v>
      </c>
      <c r="BL125" s="21">
        <f t="shared" si="91"/>
        <v>0</v>
      </c>
      <c r="BM125" s="21">
        <f t="shared" si="91"/>
        <v>0</v>
      </c>
      <c r="BN125" s="21">
        <f t="shared" si="91"/>
        <v>0</v>
      </c>
      <c r="BO125" s="21">
        <f t="shared" si="91"/>
        <v>0</v>
      </c>
      <c r="BP125" s="21">
        <f t="shared" si="91"/>
        <v>0</v>
      </c>
      <c r="BQ125" s="21">
        <f t="shared" si="91"/>
        <v>0</v>
      </c>
      <c r="BR125" s="21">
        <f t="shared" si="91"/>
        <v>0</v>
      </c>
      <c r="BS125" s="21">
        <f t="shared" si="91"/>
        <v>0</v>
      </c>
      <c r="BT125" s="21">
        <f t="shared" si="91"/>
        <v>0</v>
      </c>
      <c r="BU125" s="21">
        <f t="shared" si="91"/>
        <v>0</v>
      </c>
      <c r="BV125" s="21">
        <f t="shared" si="91"/>
        <v>0</v>
      </c>
      <c r="BW125" s="21">
        <f t="shared" si="89"/>
        <v>0</v>
      </c>
      <c r="BX125" s="21">
        <f t="shared" si="84"/>
        <v>0</v>
      </c>
      <c r="BY125" s="21">
        <f t="shared" si="84"/>
        <v>0</v>
      </c>
      <c r="BZ125" s="21">
        <f t="shared" si="84"/>
        <v>0</v>
      </c>
      <c r="CA125" s="21">
        <f t="shared" si="84"/>
        <v>0</v>
      </c>
      <c r="CB125" s="21">
        <f t="shared" si="84"/>
        <v>0</v>
      </c>
      <c r="CC125" s="21">
        <f t="shared" si="84"/>
        <v>0</v>
      </c>
      <c r="CD125" s="21">
        <f t="shared" si="84"/>
        <v>0</v>
      </c>
      <c r="CE125" s="23">
        <f t="shared" si="56"/>
        <v>0.96035242290748901</v>
      </c>
      <c r="CF125" s="21">
        <f t="shared" si="94"/>
        <v>21800000</v>
      </c>
      <c r="CG125" s="21"/>
      <c r="CH125" s="21">
        <f>+'[8]Acuerdo PLAN INVERSIÓN 2021'!$H$6273</f>
        <v>5800000</v>
      </c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>
        <f>+'[3]Acuerdo PLAN INVERSIÓN 2021'!$H$5212+'[5]Acuerdo PLAN INVERSIÓN 2021'!$H$7301</f>
        <v>16000000</v>
      </c>
      <c r="DD125" s="23">
        <f t="shared" si="57"/>
        <v>3.9647577092510988E-2</v>
      </c>
      <c r="DE125" s="21">
        <f t="shared" si="85"/>
        <v>900000</v>
      </c>
      <c r="DF125" s="21">
        <f t="shared" si="92"/>
        <v>0</v>
      </c>
      <c r="DG125" s="21">
        <f t="shared" si="92"/>
        <v>900000</v>
      </c>
      <c r="DH125" s="21">
        <f t="shared" si="92"/>
        <v>0</v>
      </c>
      <c r="DI125" s="21">
        <f t="shared" si="92"/>
        <v>0</v>
      </c>
      <c r="DJ125" s="21">
        <f t="shared" si="92"/>
        <v>0</v>
      </c>
      <c r="DK125" s="21">
        <f t="shared" si="92"/>
        <v>0</v>
      </c>
      <c r="DL125" s="21">
        <f t="shared" si="92"/>
        <v>0</v>
      </c>
      <c r="DM125" s="21">
        <f t="shared" si="92"/>
        <v>0</v>
      </c>
      <c r="DN125" s="21">
        <f t="shared" si="92"/>
        <v>0</v>
      </c>
      <c r="DO125" s="21">
        <f t="shared" si="92"/>
        <v>0</v>
      </c>
      <c r="DP125" s="21">
        <f t="shared" si="92"/>
        <v>0</v>
      </c>
      <c r="DQ125" s="21">
        <f t="shared" si="92"/>
        <v>0</v>
      </c>
      <c r="DR125" s="21">
        <f t="shared" si="92"/>
        <v>0</v>
      </c>
      <c r="DS125" s="21">
        <f t="shared" si="92"/>
        <v>0</v>
      </c>
      <c r="DT125" s="21">
        <f t="shared" si="92"/>
        <v>0</v>
      </c>
      <c r="DU125" s="21">
        <f t="shared" si="90"/>
        <v>0</v>
      </c>
      <c r="DV125" s="21">
        <f t="shared" si="87"/>
        <v>0</v>
      </c>
      <c r="DW125" s="21">
        <f t="shared" si="87"/>
        <v>0</v>
      </c>
      <c r="DX125" s="21">
        <f t="shared" si="87"/>
        <v>0</v>
      </c>
      <c r="DY125" s="21">
        <f t="shared" si="87"/>
        <v>0</v>
      </c>
      <c r="DZ125" s="21">
        <f t="shared" si="87"/>
        <v>0</v>
      </c>
      <c r="EA125" s="21">
        <f t="shared" si="87"/>
        <v>0</v>
      </c>
      <c r="EB125" s="21">
        <f t="shared" si="87"/>
        <v>0</v>
      </c>
      <c r="ED125" s="27">
        <f t="shared" si="58"/>
        <v>22700000</v>
      </c>
      <c r="EE125" s="27">
        <f t="shared" si="60"/>
        <v>22700000</v>
      </c>
      <c r="EF125" s="27">
        <f t="shared" si="61"/>
        <v>22700000</v>
      </c>
    </row>
    <row r="126" spans="1:136" ht="26.25" customHeight="1" x14ac:dyDescent="0.3">
      <c r="A126" s="167"/>
      <c r="B126" s="168"/>
      <c r="C126" s="44" t="s">
        <v>362</v>
      </c>
      <c r="D126" s="29" t="s">
        <v>363</v>
      </c>
      <c r="E126" s="61">
        <v>510</v>
      </c>
      <c r="F126" s="20" t="s">
        <v>243</v>
      </c>
      <c r="G126" s="21">
        <f t="shared" si="82"/>
        <v>240000000</v>
      </c>
      <c r="H126" s="22">
        <v>200000000</v>
      </c>
      <c r="I126" s="22">
        <f t="shared" si="88"/>
        <v>-40000000</v>
      </c>
      <c r="J126" s="41"/>
      <c r="K126" s="21">
        <v>60000000</v>
      </c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>
        <f>60000000+40000000</f>
        <v>100000000</v>
      </c>
      <c r="AB126" s="21">
        <f>30000000+50000000</f>
        <v>80000000</v>
      </c>
      <c r="AC126" s="21"/>
      <c r="AD126" s="21"/>
      <c r="AE126" s="21"/>
      <c r="AF126" s="21"/>
      <c r="AG126" s="23">
        <f t="shared" si="55"/>
        <v>0.93637017916666665</v>
      </c>
      <c r="AH126" s="21">
        <f t="shared" si="93"/>
        <v>224728843</v>
      </c>
      <c r="AI126" s="21"/>
      <c r="AJ126" s="21">
        <f>+'[9]Acuerdo PLAN INVERSIÓN 2021'!$G$1150</f>
        <v>60000000</v>
      </c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>
        <f>+'[1]Acuerdo PLAN INVERSIÓN 2021'!$X$7733</f>
        <v>96884511</v>
      </c>
      <c r="BA126" s="21">
        <f>+'[1]Acuerdo PLAN INVERSIÓN 2021'!$Y$7733</f>
        <v>67844332</v>
      </c>
      <c r="BB126" s="21"/>
      <c r="BC126" s="21"/>
      <c r="BD126" s="21"/>
      <c r="BE126" s="21"/>
      <c r="BF126" s="23">
        <f t="shared" si="59"/>
        <v>6.362982083333335E-2</v>
      </c>
      <c r="BG126" s="21">
        <f t="shared" si="68"/>
        <v>15271157</v>
      </c>
      <c r="BH126" s="21">
        <f t="shared" si="91"/>
        <v>0</v>
      </c>
      <c r="BI126" s="21">
        <f t="shared" si="91"/>
        <v>0</v>
      </c>
      <c r="BJ126" s="21">
        <f t="shared" si="91"/>
        <v>0</v>
      </c>
      <c r="BK126" s="21">
        <f t="shared" si="91"/>
        <v>0</v>
      </c>
      <c r="BL126" s="21">
        <f t="shared" si="91"/>
        <v>0</v>
      </c>
      <c r="BM126" s="21">
        <f t="shared" si="91"/>
        <v>0</v>
      </c>
      <c r="BN126" s="21">
        <f t="shared" si="91"/>
        <v>0</v>
      </c>
      <c r="BO126" s="21">
        <f t="shared" si="91"/>
        <v>0</v>
      </c>
      <c r="BP126" s="21">
        <f t="shared" si="91"/>
        <v>0</v>
      </c>
      <c r="BQ126" s="21">
        <f t="shared" si="91"/>
        <v>0</v>
      </c>
      <c r="BR126" s="21">
        <f t="shared" si="91"/>
        <v>0</v>
      </c>
      <c r="BS126" s="21">
        <f t="shared" si="91"/>
        <v>0</v>
      </c>
      <c r="BT126" s="21">
        <f t="shared" si="91"/>
        <v>0</v>
      </c>
      <c r="BU126" s="21">
        <f t="shared" si="91"/>
        <v>0</v>
      </c>
      <c r="BV126" s="21">
        <f t="shared" si="91"/>
        <v>0</v>
      </c>
      <c r="BW126" s="21">
        <f t="shared" si="89"/>
        <v>0</v>
      </c>
      <c r="BX126" s="21">
        <f t="shared" si="84"/>
        <v>0</v>
      </c>
      <c r="BY126" s="21">
        <f t="shared" si="84"/>
        <v>3115489</v>
      </c>
      <c r="BZ126" s="21">
        <f t="shared" si="84"/>
        <v>12155668</v>
      </c>
      <c r="CA126" s="21">
        <f t="shared" si="84"/>
        <v>0</v>
      </c>
      <c r="CB126" s="21">
        <f t="shared" si="84"/>
        <v>0</v>
      </c>
      <c r="CC126" s="21">
        <f t="shared" si="84"/>
        <v>0</v>
      </c>
      <c r="CD126" s="21">
        <f t="shared" si="84"/>
        <v>0</v>
      </c>
      <c r="CE126" s="23">
        <f t="shared" si="56"/>
        <v>0.93637017916666665</v>
      </c>
      <c r="CF126" s="21">
        <f t="shared" si="94"/>
        <v>224728843</v>
      </c>
      <c r="CG126" s="21"/>
      <c r="CH126" s="21">
        <f>+'[9]Acuerdo PLAN INVERSIÓN 2021'!$G$1150</f>
        <v>60000000</v>
      </c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>
        <f>+'[1]Acuerdo PLAN INVERSIÓN 2021'!$X$7733</f>
        <v>96884511</v>
      </c>
      <c r="CY126" s="21">
        <f>+'[1]Acuerdo PLAN INVERSIÓN 2021'!$Y$7733</f>
        <v>67844332</v>
      </c>
      <c r="CZ126" s="21"/>
      <c r="DA126" s="21"/>
      <c r="DB126" s="21"/>
      <c r="DC126" s="21"/>
      <c r="DD126" s="23">
        <f t="shared" si="57"/>
        <v>6.362982083333335E-2</v>
      </c>
      <c r="DE126" s="21">
        <f t="shared" si="85"/>
        <v>15271157</v>
      </c>
      <c r="DF126" s="21">
        <f t="shared" si="92"/>
        <v>0</v>
      </c>
      <c r="DG126" s="21">
        <f t="shared" si="92"/>
        <v>0</v>
      </c>
      <c r="DH126" s="21">
        <f t="shared" si="92"/>
        <v>0</v>
      </c>
      <c r="DI126" s="21">
        <f t="shared" si="92"/>
        <v>0</v>
      </c>
      <c r="DJ126" s="21">
        <f t="shared" si="92"/>
        <v>0</v>
      </c>
      <c r="DK126" s="21">
        <f t="shared" si="92"/>
        <v>0</v>
      </c>
      <c r="DL126" s="21">
        <f t="shared" si="92"/>
        <v>0</v>
      </c>
      <c r="DM126" s="21">
        <f t="shared" si="92"/>
        <v>0</v>
      </c>
      <c r="DN126" s="21">
        <f t="shared" si="92"/>
        <v>0</v>
      </c>
      <c r="DO126" s="21">
        <f t="shared" si="92"/>
        <v>0</v>
      </c>
      <c r="DP126" s="21">
        <f t="shared" si="92"/>
        <v>0</v>
      </c>
      <c r="DQ126" s="21">
        <f t="shared" si="92"/>
        <v>0</v>
      </c>
      <c r="DR126" s="21">
        <f t="shared" si="92"/>
        <v>0</v>
      </c>
      <c r="DS126" s="21">
        <f t="shared" si="92"/>
        <v>0</v>
      </c>
      <c r="DT126" s="21">
        <f t="shared" si="92"/>
        <v>0</v>
      </c>
      <c r="DU126" s="21">
        <f t="shared" si="90"/>
        <v>0</v>
      </c>
      <c r="DV126" s="21">
        <f t="shared" si="87"/>
        <v>0</v>
      </c>
      <c r="DW126" s="21">
        <f t="shared" si="87"/>
        <v>3115489</v>
      </c>
      <c r="DX126" s="21">
        <f t="shared" si="87"/>
        <v>12155668</v>
      </c>
      <c r="DY126" s="21">
        <f t="shared" si="87"/>
        <v>0</v>
      </c>
      <c r="DZ126" s="21">
        <f t="shared" si="87"/>
        <v>0</v>
      </c>
      <c r="EA126" s="21">
        <f t="shared" si="87"/>
        <v>0</v>
      </c>
      <c r="EB126" s="21">
        <f t="shared" si="87"/>
        <v>0</v>
      </c>
      <c r="ED126" s="27">
        <f t="shared" si="58"/>
        <v>240000000</v>
      </c>
      <c r="EE126" s="27">
        <f t="shared" si="60"/>
        <v>240000000</v>
      </c>
      <c r="EF126" s="27">
        <f t="shared" si="61"/>
        <v>240000000</v>
      </c>
    </row>
    <row r="127" spans="1:136" ht="30.75" customHeight="1" x14ac:dyDescent="0.3">
      <c r="A127" s="167"/>
      <c r="B127" s="171" t="s">
        <v>364</v>
      </c>
      <c r="C127" s="44" t="s">
        <v>365</v>
      </c>
      <c r="D127" s="29" t="s">
        <v>366</v>
      </c>
      <c r="E127" s="61">
        <v>310</v>
      </c>
      <c r="F127" s="20" t="s">
        <v>243</v>
      </c>
      <c r="G127" s="21">
        <f t="shared" si="82"/>
        <v>68000471</v>
      </c>
      <c r="H127" s="22">
        <v>180000000</v>
      </c>
      <c r="I127" s="22">
        <f t="shared" si="88"/>
        <v>111999529</v>
      </c>
      <c r="J127" s="41"/>
      <c r="K127" s="21">
        <f>100000000-31999529</f>
        <v>68000471</v>
      </c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3">
        <f t="shared" si="55"/>
        <v>0.12395256791677223</v>
      </c>
      <c r="AH127" s="21">
        <f t="shared" si="93"/>
        <v>8428833</v>
      </c>
      <c r="AI127" s="21"/>
      <c r="AJ127" s="21">
        <f>+'[1]Acuerdo PLAN INVERSIÓN 2021'!$J$7805</f>
        <v>8428833</v>
      </c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3">
        <f t="shared" si="59"/>
        <v>0.87604743208322777</v>
      </c>
      <c r="BG127" s="21">
        <f t="shared" si="68"/>
        <v>59571638</v>
      </c>
      <c r="BH127" s="21">
        <f t="shared" si="91"/>
        <v>0</v>
      </c>
      <c r="BI127" s="21">
        <f t="shared" si="91"/>
        <v>59571638</v>
      </c>
      <c r="BJ127" s="21">
        <f t="shared" si="91"/>
        <v>0</v>
      </c>
      <c r="BK127" s="21">
        <f t="shared" si="91"/>
        <v>0</v>
      </c>
      <c r="BL127" s="21">
        <f t="shared" si="91"/>
        <v>0</v>
      </c>
      <c r="BM127" s="21">
        <f t="shared" si="91"/>
        <v>0</v>
      </c>
      <c r="BN127" s="21">
        <f t="shared" si="91"/>
        <v>0</v>
      </c>
      <c r="BO127" s="21">
        <f t="shared" si="91"/>
        <v>0</v>
      </c>
      <c r="BP127" s="21">
        <f t="shared" si="91"/>
        <v>0</v>
      </c>
      <c r="BQ127" s="21">
        <f t="shared" si="91"/>
        <v>0</v>
      </c>
      <c r="BR127" s="21">
        <f t="shared" si="91"/>
        <v>0</v>
      </c>
      <c r="BS127" s="21">
        <f t="shared" si="91"/>
        <v>0</v>
      </c>
      <c r="BT127" s="21">
        <f t="shared" si="91"/>
        <v>0</v>
      </c>
      <c r="BU127" s="21">
        <f t="shared" si="91"/>
        <v>0</v>
      </c>
      <c r="BV127" s="21">
        <f t="shared" si="91"/>
        <v>0</v>
      </c>
      <c r="BW127" s="21">
        <f t="shared" si="89"/>
        <v>0</v>
      </c>
      <c r="BX127" s="21">
        <f t="shared" si="84"/>
        <v>0</v>
      </c>
      <c r="BY127" s="21">
        <f t="shared" si="84"/>
        <v>0</v>
      </c>
      <c r="BZ127" s="21">
        <f t="shared" si="84"/>
        <v>0</v>
      </c>
      <c r="CA127" s="21">
        <f t="shared" si="84"/>
        <v>0</v>
      </c>
      <c r="CB127" s="21">
        <f t="shared" si="84"/>
        <v>0</v>
      </c>
      <c r="CC127" s="21">
        <f t="shared" si="84"/>
        <v>0</v>
      </c>
      <c r="CD127" s="21">
        <f t="shared" si="84"/>
        <v>0</v>
      </c>
      <c r="CE127" s="23">
        <f t="shared" si="56"/>
        <v>0.12395256791677223</v>
      </c>
      <c r="CF127" s="21">
        <f t="shared" si="94"/>
        <v>8428833</v>
      </c>
      <c r="CG127" s="21"/>
      <c r="CH127" s="21">
        <f>+'[2]Acuerdo PLAN INVERSIÓN 2021'!$H$3791+'[2]Acuerdo PLAN INVERSIÓN 2021'!$H$3795</f>
        <v>8428833</v>
      </c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3">
        <f t="shared" si="57"/>
        <v>0.87604743208322777</v>
      </c>
      <c r="DE127" s="21">
        <f t="shared" si="85"/>
        <v>59571638</v>
      </c>
      <c r="DF127" s="21">
        <f t="shared" si="92"/>
        <v>0</v>
      </c>
      <c r="DG127" s="21">
        <f t="shared" si="92"/>
        <v>59571638</v>
      </c>
      <c r="DH127" s="21">
        <f t="shared" si="92"/>
        <v>0</v>
      </c>
      <c r="DI127" s="21">
        <f t="shared" si="92"/>
        <v>0</v>
      </c>
      <c r="DJ127" s="21">
        <f t="shared" si="92"/>
        <v>0</v>
      </c>
      <c r="DK127" s="21">
        <f t="shared" si="92"/>
        <v>0</v>
      </c>
      <c r="DL127" s="21">
        <f t="shared" si="92"/>
        <v>0</v>
      </c>
      <c r="DM127" s="21">
        <f t="shared" si="92"/>
        <v>0</v>
      </c>
      <c r="DN127" s="21">
        <f t="shared" si="92"/>
        <v>0</v>
      </c>
      <c r="DO127" s="21">
        <f t="shared" si="92"/>
        <v>0</v>
      </c>
      <c r="DP127" s="21">
        <f t="shared" si="92"/>
        <v>0</v>
      </c>
      <c r="DQ127" s="21">
        <f t="shared" si="92"/>
        <v>0</v>
      </c>
      <c r="DR127" s="21">
        <f t="shared" si="92"/>
        <v>0</v>
      </c>
      <c r="DS127" s="21">
        <f t="shared" si="92"/>
        <v>0</v>
      </c>
      <c r="DT127" s="21">
        <f t="shared" si="92"/>
        <v>0</v>
      </c>
      <c r="DU127" s="21">
        <f t="shared" si="90"/>
        <v>0</v>
      </c>
      <c r="DV127" s="21">
        <f t="shared" si="87"/>
        <v>0</v>
      </c>
      <c r="DW127" s="21">
        <f t="shared" si="87"/>
        <v>0</v>
      </c>
      <c r="DX127" s="21">
        <f t="shared" si="87"/>
        <v>0</v>
      </c>
      <c r="DY127" s="21">
        <f t="shared" si="87"/>
        <v>0</v>
      </c>
      <c r="DZ127" s="21">
        <f t="shared" si="87"/>
        <v>0</v>
      </c>
      <c r="EA127" s="21">
        <f t="shared" si="87"/>
        <v>0</v>
      </c>
      <c r="EB127" s="21">
        <f t="shared" si="87"/>
        <v>0</v>
      </c>
      <c r="ED127" s="27">
        <f t="shared" si="58"/>
        <v>68000471</v>
      </c>
      <c r="EE127" s="27">
        <f t="shared" si="60"/>
        <v>68000471</v>
      </c>
      <c r="EF127" s="27">
        <f t="shared" si="61"/>
        <v>68000471</v>
      </c>
    </row>
    <row r="128" spans="1:136" ht="46.5" customHeight="1" x14ac:dyDescent="0.3">
      <c r="A128" s="167"/>
      <c r="B128" s="173"/>
      <c r="C128" s="44" t="s">
        <v>367</v>
      </c>
      <c r="D128" s="29" t="s">
        <v>368</v>
      </c>
      <c r="E128" s="61">
        <v>310</v>
      </c>
      <c r="F128" s="20" t="s">
        <v>369</v>
      </c>
      <c r="G128" s="21">
        <f t="shared" si="82"/>
        <v>101399529</v>
      </c>
      <c r="H128" s="22">
        <v>80000000</v>
      </c>
      <c r="I128" s="22">
        <f t="shared" si="88"/>
        <v>-21399529</v>
      </c>
      <c r="J128" s="41"/>
      <c r="K128" s="21">
        <f>60000000+31999529</f>
        <v>91999529</v>
      </c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>
        <f>8000000+1400000</f>
        <v>9400000</v>
      </c>
      <c r="AG128" s="23">
        <f t="shared" si="55"/>
        <v>0.69924667993280321</v>
      </c>
      <c r="AH128" s="21">
        <f t="shared" si="93"/>
        <v>70903284</v>
      </c>
      <c r="AI128" s="21"/>
      <c r="AJ128" s="21">
        <f>+'[1]Acuerdo PLAN INVERSIÓN 2021'!$J$7817</f>
        <v>61503284</v>
      </c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>
        <f>+'[8]Acuerdo PLAN INVERSIÓN 2021'!$AF$6358</f>
        <v>9400000</v>
      </c>
      <c r="BF128" s="23">
        <f t="shared" si="59"/>
        <v>0.30075332006719679</v>
      </c>
      <c r="BG128" s="21">
        <f t="shared" si="68"/>
        <v>30496245</v>
      </c>
      <c r="BH128" s="21">
        <f t="shared" si="91"/>
        <v>0</v>
      </c>
      <c r="BI128" s="21">
        <f t="shared" si="91"/>
        <v>30496245</v>
      </c>
      <c r="BJ128" s="21">
        <f t="shared" si="91"/>
        <v>0</v>
      </c>
      <c r="BK128" s="21">
        <f t="shared" si="91"/>
        <v>0</v>
      </c>
      <c r="BL128" s="21">
        <f t="shared" si="91"/>
        <v>0</v>
      </c>
      <c r="BM128" s="21">
        <f t="shared" si="91"/>
        <v>0</v>
      </c>
      <c r="BN128" s="21">
        <f t="shared" si="91"/>
        <v>0</v>
      </c>
      <c r="BO128" s="21">
        <f t="shared" si="91"/>
        <v>0</v>
      </c>
      <c r="BP128" s="21">
        <f t="shared" si="91"/>
        <v>0</v>
      </c>
      <c r="BQ128" s="21">
        <f t="shared" si="91"/>
        <v>0</v>
      </c>
      <c r="BR128" s="21">
        <f t="shared" si="91"/>
        <v>0</v>
      </c>
      <c r="BS128" s="21">
        <f t="shared" si="91"/>
        <v>0</v>
      </c>
      <c r="BT128" s="21">
        <f t="shared" si="91"/>
        <v>0</v>
      </c>
      <c r="BU128" s="21">
        <f t="shared" si="91"/>
        <v>0</v>
      </c>
      <c r="BV128" s="21">
        <f t="shared" si="91"/>
        <v>0</v>
      </c>
      <c r="BW128" s="21">
        <f t="shared" si="89"/>
        <v>0</v>
      </c>
      <c r="BX128" s="21">
        <f t="shared" si="84"/>
        <v>0</v>
      </c>
      <c r="BY128" s="21">
        <f t="shared" si="84"/>
        <v>0</v>
      </c>
      <c r="BZ128" s="21">
        <f t="shared" si="84"/>
        <v>0</v>
      </c>
      <c r="CA128" s="21">
        <f t="shared" si="84"/>
        <v>0</v>
      </c>
      <c r="CB128" s="21">
        <f t="shared" si="84"/>
        <v>0</v>
      </c>
      <c r="CC128" s="21">
        <f t="shared" si="84"/>
        <v>0</v>
      </c>
      <c r="CD128" s="21">
        <f t="shared" si="84"/>
        <v>0</v>
      </c>
      <c r="CE128" s="23">
        <f t="shared" si="56"/>
        <v>0.69924667993280321</v>
      </c>
      <c r="CF128" s="21">
        <f t="shared" si="94"/>
        <v>70903284</v>
      </c>
      <c r="CG128" s="21"/>
      <c r="CH128" s="21">
        <f>+'[1]Acuerdo PLAN INVERSIÓN 2021'!$J$7817</f>
        <v>61503284</v>
      </c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>
        <f>+'[5]Acuerdo PLAN INVERSIÓN 2021'!$H$7422+'[5]Acuerdo PLAN INVERSIÓN 2021'!$H$7425+'[5]Acuerdo PLAN INVERSIÓN 2021'!$H$7463</f>
        <v>9400000</v>
      </c>
      <c r="DD128" s="23">
        <f t="shared" si="57"/>
        <v>0.30075332006719679</v>
      </c>
      <c r="DE128" s="21">
        <f t="shared" si="85"/>
        <v>30496245</v>
      </c>
      <c r="DF128" s="21">
        <f t="shared" si="92"/>
        <v>0</v>
      </c>
      <c r="DG128" s="21">
        <f t="shared" si="92"/>
        <v>30496245</v>
      </c>
      <c r="DH128" s="21">
        <f t="shared" si="92"/>
        <v>0</v>
      </c>
      <c r="DI128" s="21">
        <f t="shared" si="92"/>
        <v>0</v>
      </c>
      <c r="DJ128" s="21">
        <f t="shared" si="92"/>
        <v>0</v>
      </c>
      <c r="DK128" s="21">
        <f t="shared" si="92"/>
        <v>0</v>
      </c>
      <c r="DL128" s="21">
        <f t="shared" si="92"/>
        <v>0</v>
      </c>
      <c r="DM128" s="21">
        <f t="shared" si="92"/>
        <v>0</v>
      </c>
      <c r="DN128" s="21">
        <f t="shared" si="92"/>
        <v>0</v>
      </c>
      <c r="DO128" s="21">
        <f t="shared" si="92"/>
        <v>0</v>
      </c>
      <c r="DP128" s="21">
        <f t="shared" si="92"/>
        <v>0</v>
      </c>
      <c r="DQ128" s="21">
        <f t="shared" si="92"/>
        <v>0</v>
      </c>
      <c r="DR128" s="21">
        <f t="shared" si="92"/>
        <v>0</v>
      </c>
      <c r="DS128" s="21">
        <f t="shared" si="92"/>
        <v>0</v>
      </c>
      <c r="DT128" s="21">
        <f t="shared" si="92"/>
        <v>0</v>
      </c>
      <c r="DU128" s="21">
        <f t="shared" si="90"/>
        <v>0</v>
      </c>
      <c r="DV128" s="21">
        <f t="shared" si="87"/>
        <v>0</v>
      </c>
      <c r="DW128" s="21">
        <f t="shared" si="87"/>
        <v>0</v>
      </c>
      <c r="DX128" s="21">
        <f t="shared" si="87"/>
        <v>0</v>
      </c>
      <c r="DY128" s="21">
        <f t="shared" si="87"/>
        <v>0</v>
      </c>
      <c r="DZ128" s="21">
        <f t="shared" si="87"/>
        <v>0</v>
      </c>
      <c r="EA128" s="21">
        <f t="shared" si="87"/>
        <v>0</v>
      </c>
      <c r="EB128" s="21">
        <f t="shared" si="87"/>
        <v>0</v>
      </c>
      <c r="ED128" s="27">
        <f t="shared" si="58"/>
        <v>101399529</v>
      </c>
      <c r="EE128" s="27">
        <f t="shared" si="60"/>
        <v>101399529</v>
      </c>
      <c r="EF128" s="27">
        <f t="shared" si="61"/>
        <v>101399529</v>
      </c>
    </row>
    <row r="129" spans="1:136" s="38" customFormat="1" ht="20.25" customHeight="1" thickBot="1" x14ac:dyDescent="0.3">
      <c r="A129" s="66"/>
      <c r="B129" s="156" t="s">
        <v>370</v>
      </c>
      <c r="C129" s="157"/>
      <c r="D129" s="158"/>
      <c r="E129" s="128"/>
      <c r="F129" s="129"/>
      <c r="G129" s="125">
        <f t="shared" ref="G129:AF129" si="95">SUM(G98:G128)</f>
        <v>26514474251</v>
      </c>
      <c r="H129" s="125">
        <f t="shared" si="95"/>
        <v>15548636000</v>
      </c>
      <c r="I129" s="125">
        <f t="shared" si="95"/>
        <v>-10965838251</v>
      </c>
      <c r="J129" s="125">
        <f t="shared" si="95"/>
        <v>1298210179</v>
      </c>
      <c r="K129" s="125">
        <f t="shared" si="95"/>
        <v>1447747011</v>
      </c>
      <c r="L129" s="125">
        <f t="shared" si="95"/>
        <v>0</v>
      </c>
      <c r="M129" s="125">
        <f t="shared" si="95"/>
        <v>8774429504</v>
      </c>
      <c r="N129" s="125">
        <f t="shared" si="95"/>
        <v>6856843769</v>
      </c>
      <c r="O129" s="125">
        <f t="shared" si="95"/>
        <v>0</v>
      </c>
      <c r="P129" s="125">
        <f t="shared" si="95"/>
        <v>212423035</v>
      </c>
      <c r="Q129" s="125">
        <f t="shared" si="95"/>
        <v>660290626</v>
      </c>
      <c r="R129" s="125">
        <f t="shared" si="95"/>
        <v>593465994</v>
      </c>
      <c r="S129" s="125">
        <f t="shared" si="95"/>
        <v>446546789</v>
      </c>
      <c r="T129" s="125">
        <f t="shared" si="95"/>
        <v>734044263</v>
      </c>
      <c r="U129" s="125">
        <f t="shared" si="95"/>
        <v>620266250</v>
      </c>
      <c r="V129" s="125">
        <f t="shared" si="95"/>
        <v>201867582</v>
      </c>
      <c r="W129" s="125">
        <f t="shared" si="95"/>
        <v>690751605</v>
      </c>
      <c r="X129" s="125">
        <f t="shared" si="95"/>
        <v>331774449</v>
      </c>
      <c r="Y129" s="125">
        <f t="shared" si="95"/>
        <v>0</v>
      </c>
      <c r="Z129" s="125">
        <f t="shared" si="95"/>
        <v>0</v>
      </c>
      <c r="AA129" s="125">
        <f t="shared" si="95"/>
        <v>2037177577</v>
      </c>
      <c r="AB129" s="125">
        <f t="shared" si="95"/>
        <v>210000000</v>
      </c>
      <c r="AC129" s="125">
        <f t="shared" si="95"/>
        <v>124281898</v>
      </c>
      <c r="AD129" s="125">
        <f t="shared" si="95"/>
        <v>0</v>
      </c>
      <c r="AE129" s="125">
        <f t="shared" si="95"/>
        <v>124801187</v>
      </c>
      <c r="AF129" s="125">
        <f t="shared" si="95"/>
        <v>1149552533</v>
      </c>
      <c r="AG129" s="123">
        <f t="shared" si="55"/>
        <v>0.51292564160449361</v>
      </c>
      <c r="AH129" s="125">
        <f t="shared" ref="AH129:BE129" si="96">SUM(AH98:AH128)</f>
        <v>13599953717</v>
      </c>
      <c r="AI129" s="125">
        <f t="shared" si="96"/>
        <v>446211907</v>
      </c>
      <c r="AJ129" s="125">
        <f t="shared" si="96"/>
        <v>1030758644</v>
      </c>
      <c r="AK129" s="125">
        <f t="shared" si="96"/>
        <v>0</v>
      </c>
      <c r="AL129" s="125">
        <f t="shared" si="96"/>
        <v>2244384367</v>
      </c>
      <c r="AM129" s="125">
        <f t="shared" si="96"/>
        <v>6855066956</v>
      </c>
      <c r="AN129" s="125">
        <f t="shared" si="96"/>
        <v>0</v>
      </c>
      <c r="AO129" s="125">
        <f t="shared" si="96"/>
        <v>202400000</v>
      </c>
      <c r="AP129" s="125">
        <f t="shared" si="96"/>
        <v>545290626</v>
      </c>
      <c r="AQ129" s="125">
        <f t="shared" si="96"/>
        <v>0</v>
      </c>
      <c r="AR129" s="125">
        <f t="shared" si="96"/>
        <v>0</v>
      </c>
      <c r="AS129" s="125">
        <f t="shared" si="96"/>
        <v>0</v>
      </c>
      <c r="AT129" s="125">
        <f t="shared" si="96"/>
        <v>324980000</v>
      </c>
      <c r="AU129" s="125">
        <f t="shared" si="96"/>
        <v>0</v>
      </c>
      <c r="AV129" s="125">
        <f t="shared" si="96"/>
        <v>42007000</v>
      </c>
      <c r="AW129" s="125">
        <f t="shared" si="96"/>
        <v>0</v>
      </c>
      <c r="AX129" s="125">
        <f t="shared" si="96"/>
        <v>0</v>
      </c>
      <c r="AY129" s="125">
        <f t="shared" si="96"/>
        <v>0</v>
      </c>
      <c r="AZ129" s="125">
        <f t="shared" si="96"/>
        <v>1065533373</v>
      </c>
      <c r="BA129" s="125">
        <f t="shared" si="96"/>
        <v>190039599</v>
      </c>
      <c r="BB129" s="125">
        <f t="shared" si="96"/>
        <v>49963689</v>
      </c>
      <c r="BC129" s="125">
        <f t="shared" si="96"/>
        <v>0</v>
      </c>
      <c r="BD129" s="125">
        <f t="shared" si="96"/>
        <v>44817066</v>
      </c>
      <c r="BE129" s="125">
        <f t="shared" si="96"/>
        <v>558500490</v>
      </c>
      <c r="BF129" s="123">
        <f t="shared" si="59"/>
        <v>0.48707435839550639</v>
      </c>
      <c r="BG129" s="125">
        <f t="shared" ref="BG129:CD129" si="97">SUM(BG98:BG128)</f>
        <v>12914520534</v>
      </c>
      <c r="BH129" s="125">
        <f t="shared" si="97"/>
        <v>851998272</v>
      </c>
      <c r="BI129" s="125">
        <f t="shared" si="97"/>
        <v>416988367</v>
      </c>
      <c r="BJ129" s="125">
        <f t="shared" si="97"/>
        <v>0</v>
      </c>
      <c r="BK129" s="125">
        <f t="shared" si="97"/>
        <v>6530045137</v>
      </c>
      <c r="BL129" s="125">
        <f t="shared" si="97"/>
        <v>1776813</v>
      </c>
      <c r="BM129" s="125">
        <f t="shared" si="97"/>
        <v>0</v>
      </c>
      <c r="BN129" s="125">
        <f t="shared" si="97"/>
        <v>10023035</v>
      </c>
      <c r="BO129" s="125">
        <f t="shared" si="97"/>
        <v>115000000</v>
      </c>
      <c r="BP129" s="125">
        <f t="shared" si="97"/>
        <v>593465994</v>
      </c>
      <c r="BQ129" s="125">
        <f t="shared" si="97"/>
        <v>446546789</v>
      </c>
      <c r="BR129" s="125">
        <f t="shared" si="97"/>
        <v>734044263</v>
      </c>
      <c r="BS129" s="125">
        <f t="shared" si="97"/>
        <v>295286250</v>
      </c>
      <c r="BT129" s="125">
        <f t="shared" si="97"/>
        <v>201867582</v>
      </c>
      <c r="BU129" s="125">
        <f t="shared" si="97"/>
        <v>648744605</v>
      </c>
      <c r="BV129" s="125">
        <f t="shared" si="97"/>
        <v>331774449</v>
      </c>
      <c r="BW129" s="125">
        <f t="shared" si="97"/>
        <v>0</v>
      </c>
      <c r="BX129" s="125">
        <f t="shared" si="97"/>
        <v>0</v>
      </c>
      <c r="BY129" s="125">
        <f t="shared" si="97"/>
        <v>971644204</v>
      </c>
      <c r="BZ129" s="125">
        <f t="shared" si="97"/>
        <v>19960401</v>
      </c>
      <c r="CA129" s="125">
        <f t="shared" si="97"/>
        <v>74318209</v>
      </c>
      <c r="CB129" s="125">
        <f t="shared" si="97"/>
        <v>0</v>
      </c>
      <c r="CC129" s="125">
        <f t="shared" si="97"/>
        <v>79984121</v>
      </c>
      <c r="CD129" s="125">
        <f t="shared" si="97"/>
        <v>591052043</v>
      </c>
      <c r="CE129" s="121">
        <f t="shared" si="56"/>
        <v>0.51292564160449361</v>
      </c>
      <c r="CF129" s="125">
        <f>SUM(CF98:CF128)</f>
        <v>13599953717</v>
      </c>
      <c r="CG129" s="125">
        <f>SUM(CG98:CG128)</f>
        <v>446211907</v>
      </c>
      <c r="CH129" s="125">
        <f>SUM(CH98:CH128)</f>
        <v>1030758644</v>
      </c>
      <c r="CI129" s="125">
        <f>SUM(CI98:CI128)</f>
        <v>0</v>
      </c>
      <c r="CJ129" s="125">
        <f>SUM(CJ98:CJ128)</f>
        <v>2244384367</v>
      </c>
      <c r="CK129" s="125">
        <f t="shared" ref="CK129:DC129" si="98">SUM(CK98:CK128)</f>
        <v>6855066956</v>
      </c>
      <c r="CL129" s="125">
        <f t="shared" si="98"/>
        <v>0</v>
      </c>
      <c r="CM129" s="125">
        <f t="shared" si="98"/>
        <v>202400000</v>
      </c>
      <c r="CN129" s="125">
        <f t="shared" si="98"/>
        <v>545290626</v>
      </c>
      <c r="CO129" s="125">
        <f t="shared" si="98"/>
        <v>0</v>
      </c>
      <c r="CP129" s="125">
        <f t="shared" si="98"/>
        <v>0</v>
      </c>
      <c r="CQ129" s="125">
        <f t="shared" si="98"/>
        <v>0</v>
      </c>
      <c r="CR129" s="125">
        <f t="shared" si="98"/>
        <v>324980000</v>
      </c>
      <c r="CS129" s="125">
        <f t="shared" si="98"/>
        <v>0</v>
      </c>
      <c r="CT129" s="125">
        <f t="shared" si="98"/>
        <v>42007000</v>
      </c>
      <c r="CU129" s="125">
        <f t="shared" si="98"/>
        <v>0</v>
      </c>
      <c r="CV129" s="125">
        <f t="shared" si="98"/>
        <v>0</v>
      </c>
      <c r="CW129" s="125">
        <f t="shared" si="98"/>
        <v>0</v>
      </c>
      <c r="CX129" s="125">
        <f t="shared" si="98"/>
        <v>1065533373</v>
      </c>
      <c r="CY129" s="125">
        <f t="shared" si="98"/>
        <v>190039599</v>
      </c>
      <c r="CZ129" s="125">
        <f t="shared" si="98"/>
        <v>49963689</v>
      </c>
      <c r="DA129" s="125">
        <f t="shared" si="98"/>
        <v>0</v>
      </c>
      <c r="DB129" s="125">
        <f t="shared" si="98"/>
        <v>44817066</v>
      </c>
      <c r="DC129" s="125">
        <f t="shared" si="98"/>
        <v>558500490</v>
      </c>
      <c r="DD129" s="123">
        <f t="shared" si="57"/>
        <v>0.48707435839550639</v>
      </c>
      <c r="DE129" s="125">
        <f t="shared" ref="DE129:EB129" si="99">SUM(DE98:DE128)</f>
        <v>12914520534</v>
      </c>
      <c r="DF129" s="125">
        <f t="shared" si="99"/>
        <v>851998272</v>
      </c>
      <c r="DG129" s="125">
        <f t="shared" si="99"/>
        <v>416988367</v>
      </c>
      <c r="DH129" s="125">
        <f t="shared" si="99"/>
        <v>0</v>
      </c>
      <c r="DI129" s="125">
        <f t="shared" si="99"/>
        <v>6530045137</v>
      </c>
      <c r="DJ129" s="125">
        <f t="shared" si="99"/>
        <v>1776813</v>
      </c>
      <c r="DK129" s="125">
        <f t="shared" si="99"/>
        <v>0</v>
      </c>
      <c r="DL129" s="125">
        <f t="shared" si="99"/>
        <v>10023035</v>
      </c>
      <c r="DM129" s="125">
        <f t="shared" si="99"/>
        <v>115000000</v>
      </c>
      <c r="DN129" s="125">
        <f t="shared" si="99"/>
        <v>593465994</v>
      </c>
      <c r="DO129" s="125">
        <f t="shared" si="99"/>
        <v>446546789</v>
      </c>
      <c r="DP129" s="125">
        <f t="shared" si="99"/>
        <v>734044263</v>
      </c>
      <c r="DQ129" s="125">
        <f t="shared" si="99"/>
        <v>295286250</v>
      </c>
      <c r="DR129" s="125">
        <f t="shared" si="99"/>
        <v>201867582</v>
      </c>
      <c r="DS129" s="125">
        <f t="shared" si="99"/>
        <v>648744605</v>
      </c>
      <c r="DT129" s="125">
        <f t="shared" si="99"/>
        <v>331774449</v>
      </c>
      <c r="DU129" s="125">
        <f t="shared" si="99"/>
        <v>0</v>
      </c>
      <c r="DV129" s="125">
        <f t="shared" si="99"/>
        <v>0</v>
      </c>
      <c r="DW129" s="125">
        <f t="shared" si="99"/>
        <v>971644204</v>
      </c>
      <c r="DX129" s="125">
        <f t="shared" si="99"/>
        <v>19960401</v>
      </c>
      <c r="DY129" s="125">
        <f t="shared" si="99"/>
        <v>74318209</v>
      </c>
      <c r="DZ129" s="125">
        <f t="shared" si="99"/>
        <v>0</v>
      </c>
      <c r="EA129" s="125">
        <f t="shared" si="99"/>
        <v>79984121</v>
      </c>
      <c r="EB129" s="125">
        <f t="shared" si="99"/>
        <v>591052043</v>
      </c>
      <c r="ED129" s="27">
        <f t="shared" si="58"/>
        <v>26514474251</v>
      </c>
      <c r="EE129" s="27">
        <f t="shared" si="60"/>
        <v>26514474251</v>
      </c>
      <c r="EF129" s="27">
        <f t="shared" si="61"/>
        <v>26514474251</v>
      </c>
    </row>
    <row r="130" spans="1:136" ht="5.25" customHeight="1" thickTop="1" x14ac:dyDescent="0.25">
      <c r="C130" s="67"/>
      <c r="D130" s="67"/>
      <c r="E130" s="67"/>
      <c r="F130" s="67"/>
      <c r="G130" s="68"/>
      <c r="H130" s="69"/>
      <c r="I130" s="69"/>
      <c r="J130" s="68"/>
      <c r="K130" s="70"/>
      <c r="L130" s="68"/>
      <c r="M130" s="68"/>
      <c r="N130" s="68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2"/>
      <c r="AH130" s="73"/>
      <c r="AI130" s="73"/>
      <c r="AJ130" s="73"/>
      <c r="AK130" s="73"/>
      <c r="AL130" s="73"/>
      <c r="AM130" s="73"/>
      <c r="AN130" s="73"/>
      <c r="AO130" s="73"/>
      <c r="AP130" s="73"/>
      <c r="AQ130" s="73"/>
      <c r="AR130" s="73"/>
      <c r="AS130" s="73"/>
      <c r="AT130" s="73"/>
      <c r="AU130" s="73"/>
      <c r="AV130" s="73"/>
      <c r="AW130" s="73"/>
      <c r="AX130" s="73"/>
      <c r="AY130" s="73"/>
      <c r="AZ130" s="73"/>
      <c r="BA130" s="73"/>
      <c r="BB130" s="73"/>
      <c r="BC130" s="73"/>
      <c r="BD130" s="73"/>
      <c r="BE130" s="73"/>
      <c r="BF130" s="72"/>
      <c r="BG130" s="73"/>
      <c r="BH130" s="73"/>
      <c r="BI130" s="73"/>
      <c r="BJ130" s="73"/>
      <c r="BK130" s="73"/>
      <c r="BL130" s="73"/>
      <c r="BM130" s="73"/>
      <c r="BN130" s="73"/>
      <c r="BO130" s="73"/>
      <c r="BP130" s="73"/>
      <c r="BQ130" s="73"/>
      <c r="BR130" s="73"/>
      <c r="BS130" s="73"/>
      <c r="BT130" s="73"/>
      <c r="BU130" s="73"/>
      <c r="BV130" s="73"/>
      <c r="BW130" s="73"/>
      <c r="BX130" s="73"/>
      <c r="BY130" s="73"/>
      <c r="BZ130" s="73"/>
      <c r="CA130" s="73"/>
      <c r="CB130" s="73"/>
      <c r="CC130" s="73"/>
      <c r="CD130" s="73"/>
      <c r="CE130" s="42"/>
      <c r="CF130" s="74"/>
      <c r="CG130" s="73"/>
      <c r="CH130" s="73"/>
      <c r="CI130" s="73"/>
      <c r="CJ130" s="73"/>
      <c r="CK130" s="73"/>
      <c r="CL130" s="73"/>
      <c r="CM130" s="73"/>
      <c r="CN130" s="73"/>
      <c r="CO130" s="73"/>
      <c r="CP130" s="73"/>
      <c r="CQ130" s="73"/>
      <c r="CR130" s="73"/>
      <c r="CS130" s="73"/>
      <c r="CT130" s="73"/>
      <c r="CU130" s="73"/>
      <c r="CV130" s="73"/>
      <c r="CW130" s="73"/>
      <c r="CX130" s="73"/>
      <c r="CY130" s="73"/>
      <c r="CZ130" s="73"/>
      <c r="DA130" s="73"/>
      <c r="DB130" s="73"/>
      <c r="DC130" s="73"/>
      <c r="DD130" s="72"/>
      <c r="DE130" s="73"/>
      <c r="DF130" s="73"/>
      <c r="DG130" s="73"/>
      <c r="DH130" s="73"/>
      <c r="DI130" s="73"/>
      <c r="DJ130" s="73"/>
      <c r="DK130" s="73"/>
      <c r="DL130" s="73"/>
      <c r="DM130" s="73"/>
      <c r="DN130" s="73"/>
      <c r="DO130" s="73"/>
      <c r="DP130" s="73"/>
      <c r="DQ130" s="73"/>
      <c r="DR130" s="73"/>
      <c r="DS130" s="73"/>
      <c r="DT130" s="73"/>
      <c r="DU130" s="73"/>
      <c r="DV130" s="73"/>
      <c r="DW130" s="73"/>
      <c r="DX130" s="73"/>
      <c r="DY130" s="73"/>
      <c r="DZ130" s="73"/>
      <c r="EA130" s="73"/>
      <c r="EB130" s="73"/>
      <c r="ED130" s="27"/>
      <c r="EE130" s="27"/>
      <c r="EF130" s="27"/>
    </row>
    <row r="131" spans="1:136" ht="19.5" customHeight="1" x14ac:dyDescent="0.25">
      <c r="C131" s="159" t="s">
        <v>371</v>
      </c>
      <c r="D131" s="160"/>
      <c r="E131" s="161"/>
      <c r="F131" s="75"/>
      <c r="G131" s="73">
        <f t="shared" ref="G131:AF131" si="100">G24+G50+G77+G97+G129</f>
        <v>47285614871</v>
      </c>
      <c r="H131" s="76">
        <f t="shared" si="100"/>
        <v>37326786386</v>
      </c>
      <c r="I131" s="76">
        <f t="shared" si="100"/>
        <v>-9958828485</v>
      </c>
      <c r="J131" s="73">
        <f t="shared" si="100"/>
        <v>2422439838</v>
      </c>
      <c r="K131" s="73">
        <f t="shared" si="100"/>
        <v>3721535284</v>
      </c>
      <c r="L131" s="73">
        <f t="shared" si="100"/>
        <v>24243035</v>
      </c>
      <c r="M131" s="73">
        <f t="shared" si="100"/>
        <v>9772000888</v>
      </c>
      <c r="N131" s="73">
        <f t="shared" si="100"/>
        <v>6856843769</v>
      </c>
      <c r="O131" s="73">
        <f t="shared" si="100"/>
        <v>167645552</v>
      </c>
      <c r="P131" s="73">
        <f t="shared" si="100"/>
        <v>212423035</v>
      </c>
      <c r="Q131" s="73">
        <f t="shared" si="100"/>
        <v>4066423197</v>
      </c>
      <c r="R131" s="73">
        <f t="shared" si="100"/>
        <v>668465994</v>
      </c>
      <c r="S131" s="73">
        <f t="shared" si="100"/>
        <v>626546789</v>
      </c>
      <c r="T131" s="73">
        <f t="shared" si="100"/>
        <v>764044263</v>
      </c>
      <c r="U131" s="73">
        <f t="shared" si="100"/>
        <v>709673874</v>
      </c>
      <c r="V131" s="73">
        <f t="shared" si="100"/>
        <v>201867582</v>
      </c>
      <c r="W131" s="73">
        <f t="shared" si="100"/>
        <v>690751605</v>
      </c>
      <c r="X131" s="73">
        <f t="shared" si="100"/>
        <v>436609040</v>
      </c>
      <c r="Y131" s="73">
        <f t="shared" si="100"/>
        <v>4234779075</v>
      </c>
      <c r="Z131" s="73">
        <f t="shared" si="100"/>
        <v>1208521042</v>
      </c>
      <c r="AA131" s="73">
        <f t="shared" si="100"/>
        <v>3653080573</v>
      </c>
      <c r="AB131" s="73">
        <f t="shared" si="100"/>
        <v>896735515</v>
      </c>
      <c r="AC131" s="73">
        <f t="shared" si="100"/>
        <v>1853354458</v>
      </c>
      <c r="AD131" s="73">
        <f t="shared" si="100"/>
        <v>475996742</v>
      </c>
      <c r="AE131" s="73">
        <f>AE24+AE50+AE77+AE97+AE129</f>
        <v>547409151</v>
      </c>
      <c r="AF131" s="73">
        <f t="shared" si="100"/>
        <v>3074224570</v>
      </c>
      <c r="AG131" s="23">
        <f>AH131/G131</f>
        <v>0.55432923622772956</v>
      </c>
      <c r="AH131" s="73">
        <f t="shared" ref="AH131:BE131" si="101">AH24+AH50+AH77+AH97+AH129</f>
        <v>26211798776</v>
      </c>
      <c r="AI131" s="73">
        <f t="shared" si="101"/>
        <v>787443240</v>
      </c>
      <c r="AJ131" s="55">
        <f t="shared" si="101"/>
        <v>2876852199</v>
      </c>
      <c r="AK131" s="55">
        <f t="shared" si="101"/>
        <v>2000000</v>
      </c>
      <c r="AL131" s="55">
        <f t="shared" si="101"/>
        <v>2857403482</v>
      </c>
      <c r="AM131" s="55">
        <f t="shared" si="101"/>
        <v>6855066956</v>
      </c>
      <c r="AN131" s="55">
        <f t="shared" si="101"/>
        <v>139547293</v>
      </c>
      <c r="AO131" s="73">
        <f t="shared" si="101"/>
        <v>202400000</v>
      </c>
      <c r="AP131" s="73">
        <f t="shared" si="101"/>
        <v>2383924172</v>
      </c>
      <c r="AQ131" s="73">
        <f t="shared" si="101"/>
        <v>23499931</v>
      </c>
      <c r="AR131" s="73">
        <f t="shared" si="101"/>
        <v>21467891</v>
      </c>
      <c r="AS131" s="73">
        <f t="shared" si="101"/>
        <v>12049526</v>
      </c>
      <c r="AT131" s="73">
        <f t="shared" si="101"/>
        <v>361570049</v>
      </c>
      <c r="AU131" s="73">
        <f t="shared" si="101"/>
        <v>0</v>
      </c>
      <c r="AV131" s="73">
        <f t="shared" si="101"/>
        <v>42007000</v>
      </c>
      <c r="AW131" s="73">
        <f t="shared" si="101"/>
        <v>7388999</v>
      </c>
      <c r="AX131" s="73">
        <f t="shared" si="101"/>
        <v>3251816235</v>
      </c>
      <c r="AY131" s="73">
        <f t="shared" si="101"/>
        <v>779197894</v>
      </c>
      <c r="AZ131" s="73">
        <f t="shared" si="101"/>
        <v>1800786890</v>
      </c>
      <c r="BA131" s="73">
        <f t="shared" si="101"/>
        <v>511960294</v>
      </c>
      <c r="BB131" s="73">
        <f t="shared" si="101"/>
        <v>871169517</v>
      </c>
      <c r="BC131" s="73">
        <f t="shared" si="101"/>
        <v>331087169</v>
      </c>
      <c r="BD131" s="73">
        <f t="shared" si="101"/>
        <v>44817066</v>
      </c>
      <c r="BE131" s="73">
        <f t="shared" si="101"/>
        <v>2048342973</v>
      </c>
      <c r="BF131" s="77">
        <f>1-AG131</f>
        <v>0.44567076377227044</v>
      </c>
      <c r="BG131" s="73">
        <f t="shared" ref="BG131:CD131" si="102">BG24+BG50+BG77+BG97+BG129</f>
        <v>21073816095</v>
      </c>
      <c r="BH131" s="73">
        <f t="shared" si="102"/>
        <v>1634996598</v>
      </c>
      <c r="BI131" s="55">
        <f t="shared" si="102"/>
        <v>844683085</v>
      </c>
      <c r="BJ131" s="55">
        <f t="shared" si="102"/>
        <v>22243035</v>
      </c>
      <c r="BK131" s="55">
        <f t="shared" si="102"/>
        <v>6914597406</v>
      </c>
      <c r="BL131" s="55">
        <f t="shared" si="102"/>
        <v>1776813</v>
      </c>
      <c r="BM131" s="55">
        <f t="shared" si="102"/>
        <v>28098259</v>
      </c>
      <c r="BN131" s="73">
        <f t="shared" si="102"/>
        <v>10023035</v>
      </c>
      <c r="BO131" s="73">
        <f t="shared" si="102"/>
        <v>1682499025</v>
      </c>
      <c r="BP131" s="73">
        <f t="shared" si="102"/>
        <v>644966063</v>
      </c>
      <c r="BQ131" s="73">
        <f t="shared" si="102"/>
        <v>605078898</v>
      </c>
      <c r="BR131" s="73">
        <f t="shared" si="102"/>
        <v>751994737</v>
      </c>
      <c r="BS131" s="73">
        <f t="shared" si="102"/>
        <v>348103825</v>
      </c>
      <c r="BT131" s="73">
        <f t="shared" si="102"/>
        <v>201867582</v>
      </c>
      <c r="BU131" s="73">
        <f t="shared" si="102"/>
        <v>648744605</v>
      </c>
      <c r="BV131" s="73">
        <f t="shared" si="102"/>
        <v>429220041</v>
      </c>
      <c r="BW131" s="73">
        <f t="shared" si="102"/>
        <v>982962840</v>
      </c>
      <c r="BX131" s="73">
        <f t="shared" si="102"/>
        <v>429323148</v>
      </c>
      <c r="BY131" s="73">
        <f t="shared" si="102"/>
        <v>1852293683</v>
      </c>
      <c r="BZ131" s="73">
        <f t="shared" si="102"/>
        <v>384775221</v>
      </c>
      <c r="CA131" s="73">
        <f t="shared" si="102"/>
        <v>982184941</v>
      </c>
      <c r="CB131" s="73">
        <f t="shared" si="102"/>
        <v>144909573</v>
      </c>
      <c r="CC131" s="73">
        <f t="shared" si="102"/>
        <v>502592085</v>
      </c>
      <c r="CD131" s="73">
        <f t="shared" si="102"/>
        <v>1025881597</v>
      </c>
      <c r="CE131" s="23">
        <f>CF131/G131</f>
        <v>0.55432923622772956</v>
      </c>
      <c r="CF131" s="73">
        <f>CF24+CF50+CF77+CF97+CF129</f>
        <v>26211798776</v>
      </c>
      <c r="CG131" s="73">
        <f>CG24+CG50+CG77+CG97+CG129</f>
        <v>787443240</v>
      </c>
      <c r="CH131" s="73">
        <f>CH24+CH50+CH77+CH97+CH129</f>
        <v>2876852199</v>
      </c>
      <c r="CI131" s="73">
        <f>CI24+CI50+CI77+CI97+CI129</f>
        <v>2000000</v>
      </c>
      <c r="CJ131" s="73">
        <f t="shared" ref="CJ131:DC131" si="103">CJ24+CJ50+CJ77+CJ97+CJ129</f>
        <v>2857403482</v>
      </c>
      <c r="CK131" s="73">
        <f t="shared" si="103"/>
        <v>6855066956</v>
      </c>
      <c r="CL131" s="73">
        <f t="shared" si="103"/>
        <v>139547293</v>
      </c>
      <c r="CM131" s="73">
        <f t="shared" si="103"/>
        <v>202400000</v>
      </c>
      <c r="CN131" s="73">
        <f t="shared" si="103"/>
        <v>2383924172</v>
      </c>
      <c r="CO131" s="73">
        <f t="shared" si="103"/>
        <v>23499931</v>
      </c>
      <c r="CP131" s="73">
        <f t="shared" si="103"/>
        <v>21467891</v>
      </c>
      <c r="CQ131" s="73">
        <f t="shared" si="103"/>
        <v>12049526</v>
      </c>
      <c r="CR131" s="73">
        <f t="shared" si="103"/>
        <v>361570049</v>
      </c>
      <c r="CS131" s="73">
        <f t="shared" si="103"/>
        <v>0</v>
      </c>
      <c r="CT131" s="73">
        <f t="shared" si="103"/>
        <v>42007000</v>
      </c>
      <c r="CU131" s="73">
        <f t="shared" si="103"/>
        <v>7388999</v>
      </c>
      <c r="CV131" s="73">
        <f t="shared" si="103"/>
        <v>3251816235</v>
      </c>
      <c r="CW131" s="73">
        <f t="shared" si="103"/>
        <v>779197894</v>
      </c>
      <c r="CX131" s="73">
        <f t="shared" si="103"/>
        <v>1800786890</v>
      </c>
      <c r="CY131" s="73">
        <f t="shared" si="103"/>
        <v>511960294</v>
      </c>
      <c r="CZ131" s="73">
        <f t="shared" si="103"/>
        <v>871169517</v>
      </c>
      <c r="DA131" s="73">
        <f t="shared" si="103"/>
        <v>331087169</v>
      </c>
      <c r="DB131" s="73">
        <f t="shared" si="103"/>
        <v>44817066</v>
      </c>
      <c r="DC131" s="73">
        <f t="shared" si="103"/>
        <v>2048342973</v>
      </c>
      <c r="DD131" s="23">
        <f>1-CE131</f>
        <v>0.44567076377227044</v>
      </c>
      <c r="DE131" s="73">
        <f t="shared" ref="DE131:EB131" si="104">DE24+DE50+DE77+DE97+DE129</f>
        <v>21073816095</v>
      </c>
      <c r="DF131" s="73">
        <f t="shared" si="104"/>
        <v>1634996598</v>
      </c>
      <c r="DG131" s="73">
        <f t="shared" si="104"/>
        <v>844683085</v>
      </c>
      <c r="DH131" s="73">
        <f t="shared" si="104"/>
        <v>22243035</v>
      </c>
      <c r="DI131" s="73">
        <f t="shared" si="104"/>
        <v>6914597406</v>
      </c>
      <c r="DJ131" s="73">
        <f t="shared" si="104"/>
        <v>1776813</v>
      </c>
      <c r="DK131" s="73">
        <f t="shared" si="104"/>
        <v>28098259</v>
      </c>
      <c r="DL131" s="73">
        <f t="shared" si="104"/>
        <v>10023035</v>
      </c>
      <c r="DM131" s="73">
        <f t="shared" si="104"/>
        <v>1682499025</v>
      </c>
      <c r="DN131" s="73">
        <f t="shared" si="104"/>
        <v>644966063</v>
      </c>
      <c r="DO131" s="73">
        <f t="shared" si="104"/>
        <v>605078898</v>
      </c>
      <c r="DP131" s="73">
        <f t="shared" si="104"/>
        <v>751994737</v>
      </c>
      <c r="DQ131" s="73">
        <f t="shared" si="104"/>
        <v>348103825</v>
      </c>
      <c r="DR131" s="73">
        <f t="shared" si="104"/>
        <v>201867582</v>
      </c>
      <c r="DS131" s="73">
        <f t="shared" si="104"/>
        <v>648744605</v>
      </c>
      <c r="DT131" s="73">
        <f t="shared" si="104"/>
        <v>429220041</v>
      </c>
      <c r="DU131" s="73">
        <f t="shared" si="104"/>
        <v>982962840</v>
      </c>
      <c r="DV131" s="73">
        <f t="shared" si="104"/>
        <v>429323148</v>
      </c>
      <c r="DW131" s="73">
        <f t="shared" si="104"/>
        <v>1852293683</v>
      </c>
      <c r="DX131" s="73">
        <f t="shared" si="104"/>
        <v>384775221</v>
      </c>
      <c r="DY131" s="73">
        <f t="shared" si="104"/>
        <v>982184941</v>
      </c>
      <c r="DZ131" s="73">
        <f t="shared" si="104"/>
        <v>144909573</v>
      </c>
      <c r="EA131" s="73">
        <f t="shared" si="104"/>
        <v>502592085</v>
      </c>
      <c r="EB131" s="73">
        <f t="shared" si="104"/>
        <v>1025881597</v>
      </c>
      <c r="ED131" s="27">
        <f>+G131</f>
        <v>47285614871</v>
      </c>
      <c r="EE131" s="27">
        <f t="shared" si="60"/>
        <v>47285614871</v>
      </c>
      <c r="EF131" s="27">
        <f t="shared" si="61"/>
        <v>47285614871</v>
      </c>
    </row>
    <row r="132" spans="1:136" ht="5.25" customHeight="1" x14ac:dyDescent="0.25">
      <c r="C132" s="78"/>
      <c r="D132" s="78"/>
      <c r="E132" s="79"/>
      <c r="F132" s="79"/>
      <c r="G132" s="80"/>
      <c r="H132" s="81"/>
      <c r="I132" s="81"/>
      <c r="J132" s="80"/>
      <c r="K132" s="82"/>
      <c r="L132" s="80"/>
      <c r="M132" s="80"/>
      <c r="N132" s="80"/>
      <c r="O132" s="83"/>
      <c r="P132" s="83"/>
      <c r="Q132" s="83"/>
      <c r="R132" s="83"/>
      <c r="S132" s="83"/>
      <c r="T132" s="83"/>
      <c r="U132" s="83"/>
      <c r="V132" s="83"/>
      <c r="W132" s="83"/>
      <c r="X132" s="83"/>
      <c r="Y132" s="83"/>
      <c r="Z132" s="83"/>
      <c r="AA132" s="83"/>
      <c r="AB132" s="83"/>
      <c r="AC132" s="83"/>
      <c r="AD132" s="83"/>
      <c r="AE132" s="83"/>
      <c r="AF132" s="83"/>
      <c r="AG132" s="84"/>
      <c r="AH132" s="85"/>
      <c r="AI132" s="85"/>
      <c r="AJ132" s="85"/>
      <c r="AK132" s="85"/>
      <c r="AL132" s="85"/>
      <c r="AM132" s="85"/>
      <c r="AN132" s="85"/>
      <c r="AO132" s="85"/>
      <c r="AP132" s="83"/>
      <c r="AQ132" s="83"/>
      <c r="AR132" s="83"/>
      <c r="AS132" s="83"/>
      <c r="AT132" s="83"/>
      <c r="AU132" s="83"/>
      <c r="AV132" s="83"/>
      <c r="AW132" s="83"/>
      <c r="AX132" s="83"/>
      <c r="AY132" s="83"/>
      <c r="AZ132" s="83"/>
      <c r="BA132" s="83"/>
      <c r="BB132" s="83"/>
      <c r="BC132" s="83"/>
      <c r="BD132" s="83"/>
      <c r="BE132" s="83"/>
      <c r="BF132" s="84"/>
      <c r="BG132" s="85"/>
      <c r="BH132" s="85"/>
      <c r="BI132" s="85"/>
      <c r="BJ132" s="85"/>
      <c r="BK132" s="85"/>
      <c r="BL132" s="85"/>
      <c r="BM132" s="85"/>
      <c r="BN132" s="86"/>
      <c r="BO132" s="86"/>
      <c r="BP132" s="86"/>
      <c r="BQ132" s="86"/>
      <c r="BR132" s="86"/>
      <c r="BS132" s="86"/>
      <c r="BT132" s="86"/>
      <c r="BU132" s="86"/>
      <c r="BV132" s="86"/>
      <c r="BW132" s="86"/>
      <c r="BX132" s="86"/>
      <c r="BY132" s="86"/>
      <c r="BZ132" s="86"/>
      <c r="CA132" s="86"/>
      <c r="CB132" s="86"/>
      <c r="CC132" s="86"/>
      <c r="CD132" s="86"/>
      <c r="CE132" s="23"/>
      <c r="CF132" s="87"/>
      <c r="CG132" s="88"/>
      <c r="CH132" s="88"/>
      <c r="CI132" s="88"/>
      <c r="CJ132" s="88"/>
      <c r="CK132" s="88"/>
      <c r="CL132" s="88"/>
      <c r="CM132" s="83"/>
      <c r="CN132" s="83"/>
      <c r="CO132" s="83"/>
      <c r="CP132" s="83"/>
      <c r="CQ132" s="83"/>
      <c r="CR132" s="83"/>
      <c r="CS132" s="83"/>
      <c r="CT132" s="83"/>
      <c r="CU132" s="83"/>
      <c r="CV132" s="83"/>
      <c r="CW132" s="83"/>
      <c r="CX132" s="83"/>
      <c r="CY132" s="83"/>
      <c r="CZ132" s="83"/>
      <c r="DA132" s="83"/>
      <c r="DB132" s="83"/>
      <c r="DC132" s="83"/>
      <c r="DD132" s="23"/>
      <c r="DE132" s="89"/>
      <c r="DF132" s="85"/>
      <c r="DG132" s="85"/>
      <c r="DH132" s="85"/>
      <c r="DI132" s="85"/>
      <c r="DJ132" s="85"/>
      <c r="DK132" s="85"/>
      <c r="DL132" s="86"/>
      <c r="DM132" s="86"/>
      <c r="DN132" s="86"/>
      <c r="DO132" s="86"/>
      <c r="DP132" s="86"/>
      <c r="DQ132" s="86"/>
      <c r="DR132" s="86"/>
      <c r="DS132" s="86"/>
      <c r="DT132" s="86"/>
      <c r="DU132" s="86"/>
      <c r="DV132" s="86"/>
      <c r="DW132" s="86"/>
      <c r="DX132" s="86"/>
      <c r="DY132" s="86"/>
      <c r="DZ132" s="86"/>
      <c r="EA132" s="86"/>
      <c r="EB132" s="86"/>
      <c r="ED132" s="27"/>
      <c r="EE132" s="27"/>
      <c r="EF132" s="27"/>
    </row>
    <row r="133" spans="1:136" ht="16.5" customHeight="1" x14ac:dyDescent="0.25">
      <c r="C133" s="90"/>
      <c r="D133" s="91" t="s">
        <v>372</v>
      </c>
      <c r="E133" s="84">
        <v>111</v>
      </c>
      <c r="F133" s="92"/>
      <c r="G133" s="93">
        <f ca="1">SUMIF($E$6:$G$129,"111",$G$6:$J$128)</f>
        <v>14944040739</v>
      </c>
      <c r="H133" s="94">
        <f ca="1">SUMIF($E$6:$H$129,"111",$H$6:$J$128)</f>
        <v>3809136000</v>
      </c>
      <c r="I133" s="94">
        <f ca="1">SUMIF($E$6:$I$129,"111",$I$6:$J$128)</f>
        <v>-11134904739</v>
      </c>
      <c r="J133" s="93">
        <f>SUMIF($E$6:$E$129,"111",$J$6:$J$129)</f>
        <v>434799132</v>
      </c>
      <c r="K133" s="93">
        <f>SUMIF($E$6:$E$129,"111",$K$6:$K$129)</f>
        <v>63671594</v>
      </c>
      <c r="L133" s="93">
        <f>SUMIF($E$6:$E$129,"111",$L$6:$L$129)</f>
        <v>0</v>
      </c>
      <c r="M133" s="93">
        <f>SUMIF($E$6:$E$129,"111",$M$6:$M$129)</f>
        <v>4054720759</v>
      </c>
      <c r="N133" s="95">
        <f>SUMIF($E$6:$E$128,"111",$N$6:$N$128)</f>
        <v>6856843769</v>
      </c>
      <c r="O133" s="92">
        <f>SUMIF($E$6:$E$129,"111",$O$6:$O$129)</f>
        <v>0</v>
      </c>
      <c r="P133" s="92">
        <f>SUMIF($E$6:$E$128,"111",$P$6:$P$128)</f>
        <v>0</v>
      </c>
      <c r="Q133" s="92">
        <f>SUMIF($E$6:$E$128,"111",$Q$6:$Q$128)</f>
        <v>510290626</v>
      </c>
      <c r="R133" s="92">
        <f>SUMIF($E$6:$E$128,"111",$R$6:$R$128)</f>
        <v>593465994</v>
      </c>
      <c r="S133" s="92">
        <f>SUMIF($E$6:$E$128,"111",$S$6:$S$128)</f>
        <v>100000000</v>
      </c>
      <c r="T133" s="92">
        <f>SUMIF($E$6:$E$128,"111",$T$6:$T$128)</f>
        <v>664044263</v>
      </c>
      <c r="U133" s="92">
        <f>SUMIF($E$6:$E$128,"111",$U$6:$U$128)</f>
        <v>0</v>
      </c>
      <c r="V133" s="92">
        <f>SUMIF($E$6:$E$128,"111",$V$6:$V$128)</f>
        <v>154630269</v>
      </c>
      <c r="W133" s="92">
        <f>SUMIF($E$6:$E$128,"111",$W$6:$W$128)</f>
        <v>614527934</v>
      </c>
      <c r="X133" s="92">
        <f>SUMIF($E$6:$E$128,"111",$X$6:$X$128)</f>
        <v>290776495</v>
      </c>
      <c r="Y133" s="92">
        <f>SUMIF($E$6:$E$128,"111",$Y$6:$Y$128)</f>
        <v>0</v>
      </c>
      <c r="Z133" s="92">
        <f>SUMIF($E$6:$E$128,"111",$Z$6:$Z$128)</f>
        <v>0</v>
      </c>
      <c r="AA133" s="92">
        <f>SUMIF($E$6:$E$128,"111",$AA$6:$AA$128)</f>
        <v>404000000</v>
      </c>
      <c r="AB133" s="92">
        <f>SUMIF($E$6:$E$128,"111",$AB$6:$AB$128)</f>
        <v>0</v>
      </c>
      <c r="AC133" s="92">
        <f>SUMIF($E$6:$E$128,"111",$AC$6:$AC$128)</f>
        <v>0</v>
      </c>
      <c r="AD133" s="92">
        <f>SUMIF($E$6:$E$128,"111",$AC$6:$AC$128)</f>
        <v>0</v>
      </c>
      <c r="AE133" s="92">
        <f>SUMIF($E$6:$E$128,"111",$AE$6:$AE$128)</f>
        <v>77846638</v>
      </c>
      <c r="AF133" s="92">
        <f>SUMIF($E$6:$E$128,"111",$AF$6:$AF$128)</f>
        <v>124423266</v>
      </c>
      <c r="AG133" s="23">
        <f t="shared" ref="AG133:AG140" ca="1" si="105">AH133/G133</f>
        <v>0.5603795040617896</v>
      </c>
      <c r="AH133" s="95">
        <f>SUMIF($E$6:$E$128,"111",$AH$6:$AH$128)</f>
        <v>8374334138</v>
      </c>
      <c r="AI133" s="95">
        <f>SUMIF($E$6:$E$128,"111",$AI$6:$AI$128)</f>
        <v>434799132</v>
      </c>
      <c r="AJ133" s="95">
        <f>SUMIF($E$6:$E$128,"111",$AJ$6:$AJ$128)</f>
        <v>0</v>
      </c>
      <c r="AK133" s="95">
        <f>SUMIF($E$6:$E$128,"111",$AK$6:$AK$128)</f>
        <v>0</v>
      </c>
      <c r="AL133" s="95">
        <f>SUMIF($E$6:$E$128,"111",$AL$6:$AL$128)</f>
        <v>477638105</v>
      </c>
      <c r="AM133" s="95">
        <f>SUMIF($E$6:$E$128,"111",$AM$6:$AM$128)</f>
        <v>6855066956</v>
      </c>
      <c r="AN133" s="95">
        <f>SUMIF($E$6:$E$128,"111",$AN$6:$AN$128)</f>
        <v>0</v>
      </c>
      <c r="AO133" s="95">
        <f>SUMIF($E$6:$E$128,"111",$AO$6:$AO$128)</f>
        <v>0</v>
      </c>
      <c r="AP133" s="95">
        <f>SUMIF($E$6:$E$128,"111",$AP$6:$AP$128)</f>
        <v>510290626</v>
      </c>
      <c r="AQ133" s="95">
        <f>SUMIF($E$6:$E$128,"111",$AQ$6:$AQ$128)</f>
        <v>0</v>
      </c>
      <c r="AR133" s="95">
        <f>SUMIF($E$6:$E$128,"111",$AR$6:$AR$128)</f>
        <v>0</v>
      </c>
      <c r="AS133" s="95">
        <f>SUMIF($E$6:$E$128,"111",$AS$6:$AS$128)</f>
        <v>0</v>
      </c>
      <c r="AT133" s="95">
        <f>SUMIF($E$6:$E$128,"111",$AT$6:$AT$128)</f>
        <v>0</v>
      </c>
      <c r="AU133" s="95">
        <f>SUMIF($E$6:$E$128,"111",$AU$6:$AU$128)</f>
        <v>0</v>
      </c>
      <c r="AV133" s="95">
        <f>SUMIF($E$6:$E$128,"111",$AV$6:$AV$128)</f>
        <v>42007000</v>
      </c>
      <c r="AW133" s="95">
        <f>SUMIF($E$6:$E$128,"111",$AW$6:$AW$128)</f>
        <v>0</v>
      </c>
      <c r="AX133" s="95">
        <f>SUMIF($E$6:$E$128,"111",$AX$6:$AX$128)</f>
        <v>0</v>
      </c>
      <c r="AY133" s="95">
        <f>SUMIF($E$6:$E$128,"111",$AY$6:$AY$128)</f>
        <v>0</v>
      </c>
      <c r="AZ133" s="95">
        <f>SUMIF($E$6:$E$128,"111",$AZ$6:$AZ$128)</f>
        <v>13021449</v>
      </c>
      <c r="BA133" s="95">
        <f>SUMIF($E$6:$E$128,"111",$BA$6:$BA$128)</f>
        <v>0</v>
      </c>
      <c r="BB133" s="95">
        <f>SUMIF($E$6:$E$128,"111",$BB$6:$BB$128)</f>
        <v>0</v>
      </c>
      <c r="BC133" s="95">
        <f>SUMIF($E$6:$E$128,"111",$BC$6:$BC$128)</f>
        <v>0</v>
      </c>
      <c r="BD133" s="95">
        <f>SUMIF($E$6:$E$128,"111",$BD$6:$BD$128)</f>
        <v>0</v>
      </c>
      <c r="BE133" s="95">
        <f>SUMIF($E$6:$E$128,"111",$BE$6:$BE$128)</f>
        <v>41510870</v>
      </c>
      <c r="BF133" s="77">
        <f t="shared" ref="BF133:BF140" ca="1" si="106">1-AG133</f>
        <v>0.4396204959382104</v>
      </c>
      <c r="BG133" s="26">
        <f t="shared" ref="BG133:BG139" si="107">SUM(BH133:CD133)</f>
        <v>6569706601</v>
      </c>
      <c r="BH133" s="96">
        <f>SUMIF($E$6:$E$128,"111",$BH$6:$BH$128)</f>
        <v>0</v>
      </c>
      <c r="BI133" s="96">
        <f>SUMIF($E$6:$E$128,"111",$BI$6:$BI$128)</f>
        <v>63671594</v>
      </c>
      <c r="BJ133" s="96">
        <f>SUMIF($E$6:$E$128,"111",$BJ$6:$BJ$128)</f>
        <v>0</v>
      </c>
      <c r="BK133" s="96">
        <f>SUMIF($E$6:$E$128,"111",$BK$6:$BK$128)</f>
        <v>3577082654</v>
      </c>
      <c r="BL133" s="96">
        <f>SUMIF($E$6:$E$128,"111",$BL$6:$BL$128)</f>
        <v>1776813</v>
      </c>
      <c r="BM133" s="96">
        <f>SUMIF($E$6:$E$128,"111",$BM$6:$BM$128)</f>
        <v>0</v>
      </c>
      <c r="BN133" s="96">
        <f>SUMIF($E$6:$E$128,"111",$BN$6:$BN$128)</f>
        <v>0</v>
      </c>
      <c r="BO133" s="96">
        <f>SUMIF($E$6:$E$128,"111",$BO$6:$BO$128)</f>
        <v>0</v>
      </c>
      <c r="BP133" s="96">
        <f>SUMIF($E$6:$E$128,"111",$BP$6:$BP$128)</f>
        <v>593465994</v>
      </c>
      <c r="BQ133" s="96">
        <f>SUMIF($E$6:$E$128,"111",$BQ$6:$BQ$128)</f>
        <v>100000000</v>
      </c>
      <c r="BR133" s="96">
        <f>SUMIF($E$6:$E$128,"111",$BR$6:$BR$128)</f>
        <v>664044263</v>
      </c>
      <c r="BS133" s="96">
        <f>SUMIF($E$6:$E$128,"111",$BS$6:$BS$128)</f>
        <v>0</v>
      </c>
      <c r="BT133" s="96">
        <f>SUMIF($E$6:$E$128,"111",$BT$6:$BT$128)</f>
        <v>154630269</v>
      </c>
      <c r="BU133" s="96">
        <f>SUMIF($E$6:$E$128,"111",$BU$6:$BU$128)</f>
        <v>572520934</v>
      </c>
      <c r="BV133" s="96">
        <f>SUMIF($E$6:$E$128,"111",$BV$6:$BV$128)</f>
        <v>290776495</v>
      </c>
      <c r="BW133" s="96">
        <f>SUMIF($E$6:$E$128,"111",$BW$6:$BW$128)</f>
        <v>0</v>
      </c>
      <c r="BX133" s="96">
        <f>SUMIF($E$6:$E$128,"111",$BX$6:$BX$128)</f>
        <v>0</v>
      </c>
      <c r="BY133" s="96">
        <f>SUMIF($E$6:$E$128,"111",$BY$6:$BY$128)</f>
        <v>390978551</v>
      </c>
      <c r="BZ133" s="96">
        <f>SUMIF($E$6:$E$128,"111",$BZ$6:$BZ$128)</f>
        <v>0</v>
      </c>
      <c r="CA133" s="96">
        <f>SUMIF($E$6:$E$128,"111",$CA$6:$CA$128)</f>
        <v>0</v>
      </c>
      <c r="CB133" s="96">
        <f>SUMIF($E$6:$E$128,"111",$CB$6:$CB$128)</f>
        <v>0</v>
      </c>
      <c r="CC133" s="96">
        <f>SUMIF($E$6:$E$128,"111",$CC$6:$CC$128)</f>
        <v>77846638</v>
      </c>
      <c r="CD133" s="97">
        <f>SUMIF($E$6:$E$128,"111",$CD$6:$CD$128)</f>
        <v>82912396</v>
      </c>
      <c r="CE133" s="23">
        <f t="shared" ref="CE133:CE140" ca="1" si="108">CF133/G133</f>
        <v>0.5603795040617896</v>
      </c>
      <c r="CF133" s="41">
        <f t="shared" ref="CF133:CF139" si="109">SUM(CG133:DC133)</f>
        <v>8374334138</v>
      </c>
      <c r="CG133" s="95">
        <f>SUMIF($E$6:$E$128,"111",$CG$6:$CG$128)</f>
        <v>434799132</v>
      </c>
      <c r="CH133" s="95">
        <f>SUMIF($E$6:$E$128,"111",$CH$6:$CH$128)</f>
        <v>0</v>
      </c>
      <c r="CI133" s="95">
        <f>SUMIF($E$6:$E$128,"111",$CI$6:$CI$128)</f>
        <v>0</v>
      </c>
      <c r="CJ133" s="95">
        <f>SUMIF($E$6:$E$128,"111",$CJ$6:$CJ$128)</f>
        <v>477638105</v>
      </c>
      <c r="CK133" s="95">
        <f>SUMIF($E$6:$E$128,"111",$CK$6:$CK$128)</f>
        <v>6855066956</v>
      </c>
      <c r="CL133" s="95">
        <f>SUMIF($E$6:$E$128,"111",$CL$6:$CL$128)</f>
        <v>0</v>
      </c>
      <c r="CM133" s="95">
        <f>SUMIF($E$6:$E$128,"111",$CM$6:$CM$128)</f>
        <v>0</v>
      </c>
      <c r="CN133" s="95">
        <f>SUMIF($E$6:$E$128,"111",$CN$6:$CN$128)</f>
        <v>510290626</v>
      </c>
      <c r="CO133" s="95">
        <f>SUMIF($E$6:$E$128,"111",$CO$6:$CO$128)</f>
        <v>0</v>
      </c>
      <c r="CP133" s="95">
        <f>SUMIF($E$6:$E$128,"111",$CP$6:$CP$128)</f>
        <v>0</v>
      </c>
      <c r="CQ133" s="95">
        <f>SUMIF($E$6:$E$128,"111",$CQ$6:$CQ$128)</f>
        <v>0</v>
      </c>
      <c r="CR133" s="95">
        <f>SUMIF($E$6:$E$128,"111",$CR$6:$CR$128)</f>
        <v>0</v>
      </c>
      <c r="CS133" s="95">
        <f>SUMIF($E$6:$E$128,"111",$CS$6:$CS$128)</f>
        <v>0</v>
      </c>
      <c r="CT133" s="95">
        <f>SUMIF($E$6:$E$128,"111",$CT$6:$CT$128)</f>
        <v>42007000</v>
      </c>
      <c r="CU133" s="95">
        <f>SUMIF($E$6:$E$128,"111",$CU$6:$CU$128)</f>
        <v>0</v>
      </c>
      <c r="CV133" s="95">
        <f>SUMIF($E$6:$E$128,"111",$CV$6:$CV$128)</f>
        <v>0</v>
      </c>
      <c r="CW133" s="95">
        <f>SUMIF($E$6:$E$128,"111",$CW$6:$CW$128)</f>
        <v>0</v>
      </c>
      <c r="CX133" s="95">
        <f>SUMIF($E$6:$E$128,"111",$CX$6:$CX$128)</f>
        <v>13021449</v>
      </c>
      <c r="CY133" s="95">
        <f>SUMIF($E$6:$E$128,"111",$CY$6:$CY$128)</f>
        <v>0</v>
      </c>
      <c r="CZ133" s="95">
        <f>SUMIF($E$6:$E$128,"111",$CZ$6:$CZ$128)</f>
        <v>0</v>
      </c>
      <c r="DA133" s="95">
        <f>SUMIF($E$6:$E$128,"111",$DA$6:$DA$128)</f>
        <v>0</v>
      </c>
      <c r="DB133" s="95">
        <f>SUMIF($E$6:$E$128,"111",$DB$6:$DB$128)</f>
        <v>0</v>
      </c>
      <c r="DC133" s="98">
        <f>SUMIF($E$6:$E$128,"111",$DC$6:$DC$128)</f>
        <v>41510870</v>
      </c>
      <c r="DD133" s="23">
        <f t="shared" ref="DD133:DD140" ca="1" si="110">1-CE133</f>
        <v>0.4396204959382104</v>
      </c>
      <c r="DE133" s="26">
        <f t="shared" ref="DE133:DE139" si="111">SUM(DF133:EB133)</f>
        <v>6569706601</v>
      </c>
      <c r="DF133" s="96">
        <f>SUMIF($E$6:$E$128,"111",$DF$6:$DF$128)</f>
        <v>0</v>
      </c>
      <c r="DG133" s="96">
        <f>SUMIF($E$6:$E$128,"111",$DG$6:$DG$128)</f>
        <v>63671594</v>
      </c>
      <c r="DH133" s="96">
        <f>SUMIF($E$6:$E$128,"111",$DH$6:$DH$128)</f>
        <v>0</v>
      </c>
      <c r="DI133" s="96">
        <f>SUMIF($E$6:$E$128,"111",$DI$6:$DI$128)</f>
        <v>3577082654</v>
      </c>
      <c r="DJ133" s="96">
        <f>SUMIF($E$6:$E$128,"111",$DJ$6:$DJ$128)</f>
        <v>1776813</v>
      </c>
      <c r="DK133" s="96">
        <f>SUMIF($E$6:$E$128,"111",$DK$6:$DK$128)</f>
        <v>0</v>
      </c>
      <c r="DL133" s="96">
        <f>SUMIF($E$6:$E$128,"111",$DL$6:$DL$128)</f>
        <v>0</v>
      </c>
      <c r="DM133" s="96">
        <f>SUMIF($E$6:$E$128,"111",$DM$6:$DM$128)</f>
        <v>0</v>
      </c>
      <c r="DN133" s="96">
        <f>SUMIF($E$6:$E$128,"111",$DN$6:$DN$128)</f>
        <v>593465994</v>
      </c>
      <c r="DO133" s="96">
        <f>SUMIF($E$6:$E$128,"111",$DO$6:$DO$128)</f>
        <v>100000000</v>
      </c>
      <c r="DP133" s="96">
        <f>SUMIF($E$6:$E$128,"111",$DP$6:$DP$128)</f>
        <v>664044263</v>
      </c>
      <c r="DQ133" s="99">
        <f>SUMIF($E$6:$E$128,"111",$DQ$6:$DQ$128)</f>
        <v>0</v>
      </c>
      <c r="DR133" s="99">
        <f>SUMIF($E$6:$E$128,"111",$DR$6:$DR$128)</f>
        <v>154630269</v>
      </c>
      <c r="DS133" s="99">
        <f>SUMIF($E$6:$E$128,"111",$DS$6:$DS$128)</f>
        <v>572520934</v>
      </c>
      <c r="DT133" s="99">
        <f>SUMIF($E$6:$E$128,"111",$DT$6:$DT$128)</f>
        <v>290776495</v>
      </c>
      <c r="DU133" s="99">
        <f>SUMIF($E$6:$E$128,"111",$DU$6:$DU$128)</f>
        <v>0</v>
      </c>
      <c r="DV133" s="99">
        <f>SUMIF($E$6:$E$128,"111",$DV$6:$DV$128)</f>
        <v>0</v>
      </c>
      <c r="DW133" s="99">
        <f>SUMIF($E$6:$E$128,"111",$DW$6:$DW$128)</f>
        <v>390978551</v>
      </c>
      <c r="DX133" s="99">
        <f>SUMIF($E$6:$E$128,"111",$DX$6:$DX$128)</f>
        <v>0</v>
      </c>
      <c r="DY133" s="99">
        <f>SUMIF($E$6:$E$128,"111",$DY$6:$DY$128)</f>
        <v>0</v>
      </c>
      <c r="DZ133" s="99">
        <f>SUMIF($E$6:$E$128,"111",$DZ$6:$DZ$128)</f>
        <v>0</v>
      </c>
      <c r="EA133" s="99">
        <f>SUMIF($E$6:$E$128,"111",$EA$6:$EA$128)</f>
        <v>77846638</v>
      </c>
      <c r="EB133" s="99">
        <f>SUMIF($E$6:$E$128,"111",$EB$6:$EB$128)</f>
        <v>82912396</v>
      </c>
      <c r="ED133" s="27">
        <f t="shared" ref="ED133:ED140" ca="1" si="112">+G133</f>
        <v>14944040739</v>
      </c>
      <c r="EE133" s="27">
        <f t="shared" si="60"/>
        <v>14944040739</v>
      </c>
      <c r="EF133" s="27">
        <f t="shared" si="61"/>
        <v>14944040739</v>
      </c>
    </row>
    <row r="134" spans="1:136" ht="18" customHeight="1" x14ac:dyDescent="0.25">
      <c r="C134" s="100"/>
      <c r="D134" s="91" t="s">
        <v>373</v>
      </c>
      <c r="E134" s="84">
        <v>211</v>
      </c>
      <c r="F134" s="92"/>
      <c r="G134" s="93">
        <f ca="1">SUMIF($E$6:$G$129,"211",$G$6:$J$128)</f>
        <v>10487526512</v>
      </c>
      <c r="H134" s="94">
        <f ca="1">SUMIF($E$6:$H$129,"211",$H$6:$J$128)</f>
        <v>10099500000</v>
      </c>
      <c r="I134" s="94">
        <f ca="1">SUMIF($E$6:$I$129,"211",$I$6:$J$128)</f>
        <v>-388026512</v>
      </c>
      <c r="J134" s="93">
        <f>SUMIF($E$6:$E$129,"211",$J$6:$J$129)</f>
        <v>863411047</v>
      </c>
      <c r="K134" s="93">
        <f>SUMIF($E$6:$E$129,"211",$K$6:$K$129)</f>
        <v>791568417</v>
      </c>
      <c r="L134" s="93">
        <f>SUMIF($E$6:$E$129,"211",$L$6:$L$129)</f>
        <v>0</v>
      </c>
      <c r="M134" s="93">
        <f>SUMIF($E$6:$E$129,"211",$M$6:$M$129)</f>
        <v>4719708745</v>
      </c>
      <c r="N134" s="95">
        <f>SUMIF($E$6:$E$128,"211",$N$6:$N$128)</f>
        <v>0</v>
      </c>
      <c r="O134" s="92">
        <f>SUMIF($E$6:$E$128,"211",$O$6:$O$128)</f>
        <v>0</v>
      </c>
      <c r="P134" s="92">
        <f>SUMIF($E$6:$E$128,"211",$P$6:$P$128)</f>
        <v>212423035</v>
      </c>
      <c r="Q134" s="92">
        <f>SUMIF($E$6:$E$128,"211",$Q$6:$Q$128)</f>
        <v>150000000</v>
      </c>
      <c r="R134" s="92">
        <f>SUMIF($E$6:$E$128,"211",$R$6:$R$128)</f>
        <v>0</v>
      </c>
      <c r="S134" s="92">
        <f>SUMIF($E$6:$E$128,"211",$S$6:$S$128)</f>
        <v>346546789</v>
      </c>
      <c r="T134" s="92">
        <f>SUMIF($E$6:$E$128,"211",$T$6:$T$128)</f>
        <v>70000000</v>
      </c>
      <c r="U134" s="92">
        <f>SUMIF($E$6:$E$128,"211",$U$6:$U$128)</f>
        <v>620266250</v>
      </c>
      <c r="V134" s="92">
        <f>SUMIF($E$6:$E$128,"211",$V$6:$V$128)</f>
        <v>47237313</v>
      </c>
      <c r="W134" s="92">
        <f>SUMIF($E$6:$E$128,"211",$W$6:$W$128)</f>
        <v>76223671</v>
      </c>
      <c r="X134" s="92">
        <f>SUMIF($E$6:$E$128,"211",$X$6:$X$128)</f>
        <v>40997954</v>
      </c>
      <c r="Y134" s="92">
        <f>SUMIF($E$6:$E$128,"211",$Y$6:$Y$128)</f>
        <v>0</v>
      </c>
      <c r="Z134" s="92">
        <f>SUMIF($E$6:$E$128,"211",$Z$6:$Z$128)</f>
        <v>0</v>
      </c>
      <c r="AA134" s="92">
        <f>SUMIF($E$6:$E$128,"211",$AA$6:$AA$128)</f>
        <v>1288177577</v>
      </c>
      <c r="AB134" s="92">
        <f>SUMIF($E$6:$E$128,"211",$AB$6:$AB$128)</f>
        <v>90000000</v>
      </c>
      <c r="AC134" s="92">
        <f>SUMIF($E$6:$E$128,"211",$AC$6:$AC$128)</f>
        <v>124281898</v>
      </c>
      <c r="AD134" s="92"/>
      <c r="AE134" s="92">
        <f>SUMIF($E$6:$E$128,"211",$AE$6:$AE$128)</f>
        <v>46954549</v>
      </c>
      <c r="AF134" s="92">
        <f>SUMIF($E$6:$E$128,"211",$AF$6:$AF$128)</f>
        <v>999729267</v>
      </c>
      <c r="AG134" s="23">
        <f t="shared" ca="1" si="105"/>
        <v>0.40982956887708893</v>
      </c>
      <c r="AH134" s="95">
        <f>SUMIF($E$6:$E$128,"211",$AH$6:$AH$128)</f>
        <v>4298098469</v>
      </c>
      <c r="AI134" s="95">
        <f>SUMIF($E$6:$E$128,"211",$AI$6:$AI$128)</f>
        <v>11412775</v>
      </c>
      <c r="AJ134" s="95">
        <f>SUMIF($E$6:$E$128,"211",$AJ$6:$AJ$128)</f>
        <v>542369580</v>
      </c>
      <c r="AK134" s="95">
        <f>SUMIF($E$6:$E$128,"211",$AK$6:$AK$128)</f>
        <v>0</v>
      </c>
      <c r="AL134" s="95">
        <f>SUMIF($E$6:$E$128,"211",$AL$6:$AL$128)</f>
        <v>1766746262</v>
      </c>
      <c r="AM134" s="95">
        <f>SUMIF($E$6:$E$128,"211",$AM$6:$AM$128)</f>
        <v>0</v>
      </c>
      <c r="AN134" s="95">
        <f>SUMIF($E$6:$E$128,"211",$AN$6:$AN$128)</f>
        <v>0</v>
      </c>
      <c r="AO134" s="95">
        <f>SUMIF($E$6:$E$128,"211",$AO$6:$AO$128)</f>
        <v>202400000</v>
      </c>
      <c r="AP134" s="95">
        <f>SUMIF($E$6:$E$128,"211",$AP$6:$AP$128)</f>
        <v>35000000</v>
      </c>
      <c r="AQ134" s="95">
        <f>SUMIF($E$6:$E$128,"211",$AQ$6:$AQ$128)</f>
        <v>0</v>
      </c>
      <c r="AR134" s="95">
        <f>SUMIF($E$6:$E$128,"211",$AR$6:$AR$128)</f>
        <v>0</v>
      </c>
      <c r="AS134" s="95">
        <f>SUMIF($E$6:$E$128,"211",$AS$6:$AS$128)</f>
        <v>0</v>
      </c>
      <c r="AT134" s="95">
        <f>SUMIF($E$6:$E$128,"211",$AT$6:$AT$128)</f>
        <v>324980000</v>
      </c>
      <c r="AU134" s="95">
        <f>SUMIF($E$6:$E$128,"211",$AU$6:$AU$128)</f>
        <v>0</v>
      </c>
      <c r="AV134" s="95">
        <f>SUMIF($E$6:$E$128,"211",$AV$6:$AV$128)</f>
        <v>0</v>
      </c>
      <c r="AW134" s="95">
        <f>SUMIF($E$6:$E$128,"211",$AW$6:$AW$128)</f>
        <v>0</v>
      </c>
      <c r="AX134" s="95">
        <f>SUMIF($E$6:$E$128,"211",$AX$6:$AX$128)</f>
        <v>0</v>
      </c>
      <c r="AY134" s="95">
        <f>SUMIF($E$6:$E$128,"211",$AY$6:$AY$128)</f>
        <v>0</v>
      </c>
      <c r="AZ134" s="95">
        <f>SUMIF($E$6:$E$128,"211",$AZ$6:$AZ$128)</f>
        <v>745957544</v>
      </c>
      <c r="BA134" s="95">
        <f>SUMIF($E$6:$E$128,"211",$BA$6:$BA$128)</f>
        <v>82861933</v>
      </c>
      <c r="BB134" s="95">
        <f>SUMIF($E$6:$E$128,"211",$BB$6:$BB$128)</f>
        <v>49963689</v>
      </c>
      <c r="BC134" s="95">
        <f>SUMIF($E$6:$E$128,"211",$BC$6:$BC$128)</f>
        <v>0</v>
      </c>
      <c r="BD134" s="95">
        <f>SUMIF($E$6:$E$128,"211",$BD$6:$BD$128)</f>
        <v>44817066</v>
      </c>
      <c r="BE134" s="95">
        <f>SUMIF($E$6:$E$128,"211",$BE$6:$BE$128)</f>
        <v>491589620</v>
      </c>
      <c r="BF134" s="77">
        <f t="shared" ca="1" si="106"/>
        <v>0.59017043112291101</v>
      </c>
      <c r="BG134" s="26">
        <f t="shared" si="107"/>
        <v>6189428043</v>
      </c>
      <c r="BH134" s="96">
        <f>SUMIF($E$6:$E$128,"211",$BH$6:$BH$128)</f>
        <v>851998272</v>
      </c>
      <c r="BI134" s="96">
        <f>SUMIF($E$6:$E$128,"211",$BI$6:$BI$128)</f>
        <v>249198837</v>
      </c>
      <c r="BJ134" s="96">
        <f>SUMIF($E$6:$E$128,"211",$BJ$6:$BJ$128)</f>
        <v>0</v>
      </c>
      <c r="BK134" s="96">
        <f>SUMIF($E$6:$E$128,"211",$BK$6:$BK$128)</f>
        <v>2952962483</v>
      </c>
      <c r="BL134" s="96">
        <f>SUMIF($E$6:$E$128,"211",$BL$6:$BL$128)</f>
        <v>0</v>
      </c>
      <c r="BM134" s="96">
        <f>SUMIF($E$6:$E$128,"211",$BM$6:$BM$128)</f>
        <v>0</v>
      </c>
      <c r="BN134" s="96">
        <f>SUMIF($E$6:$E$128,"211",$BN$6:$BN$128)</f>
        <v>10023035</v>
      </c>
      <c r="BO134" s="96">
        <f>SUMIF($E$6:$E$128,"211",$BO$6:$BO$128)</f>
        <v>115000000</v>
      </c>
      <c r="BP134" s="96">
        <f>SUMIF($E$6:$E$128,"211",$BP$6:$BP$128)</f>
        <v>0</v>
      </c>
      <c r="BQ134" s="96">
        <f>SUMIF($E$6:$E$128,"211",$BQ$6:$BQ$128)</f>
        <v>346546789</v>
      </c>
      <c r="BR134" s="96">
        <f>SUMIF($E$6:$E$128,"211",$BR$6:$BR$128)</f>
        <v>70000000</v>
      </c>
      <c r="BS134" s="96">
        <f>SUMIF($E$6:$E$128,"211",$BS$6:$BS$128)</f>
        <v>295286250</v>
      </c>
      <c r="BT134" s="96">
        <f>SUMIF($E$6:$E$128,"211",$BT$6:$BT$128)</f>
        <v>47237313</v>
      </c>
      <c r="BU134" s="96">
        <f>SUMIF($E$6:$E$128,"211",$BU$6:$BU$128)</f>
        <v>76223671</v>
      </c>
      <c r="BV134" s="96">
        <f>SUMIF($E$6:$E$128,"211",$BV$6:$BV$128)</f>
        <v>40997954</v>
      </c>
      <c r="BW134" s="96">
        <f>SUMIF($E$6:$E$128,"211",$BW$6:$BW$128)</f>
        <v>0</v>
      </c>
      <c r="BX134" s="96">
        <f>SUMIF($E$6:$E$128,"211",$BX$6:$BX$128)</f>
        <v>0</v>
      </c>
      <c r="BY134" s="96">
        <f>SUMIF($E$6:$E$128,"211",$BY$6:$BY$128)</f>
        <v>542220033</v>
      </c>
      <c r="BZ134" s="96">
        <f>SUMIF($E$6:$E$128,"211",$BZ$6:$BZ$128)</f>
        <v>7138067</v>
      </c>
      <c r="CA134" s="96">
        <f>SUMIF($E$6:$E$128,"211",$CA$6:$CA$128)</f>
        <v>74318209</v>
      </c>
      <c r="CB134" s="96">
        <f>SUMIF($E$6:$E$128,"211",$CB$6:$CB$128)</f>
        <v>0</v>
      </c>
      <c r="CC134" s="96">
        <f>SUMIF($E$6:$E$128,"211",$CC$6:$CC$128)</f>
        <v>2137483</v>
      </c>
      <c r="CD134" s="97">
        <f>SUMIF($E$6:$E$128,"211",$CD$6:$CD$128)</f>
        <v>508139647</v>
      </c>
      <c r="CE134" s="23">
        <f t="shared" ca="1" si="108"/>
        <v>0.40982956887708893</v>
      </c>
      <c r="CF134" s="41">
        <f t="shared" si="109"/>
        <v>4298098469</v>
      </c>
      <c r="CG134" s="95">
        <f>SUMIF($E$6:$E$128,"211",$CG$6:$CG$128)</f>
        <v>11412775</v>
      </c>
      <c r="CH134" s="95">
        <f>SUMIF($E$6:$E$128,"211",$CH$6:$CH$128)</f>
        <v>542369580</v>
      </c>
      <c r="CI134" s="95">
        <f>SUMIF($E$6:$E$128,"211",$CI$6:$CI$128)</f>
        <v>0</v>
      </c>
      <c r="CJ134" s="95">
        <f>SUMIF($E$6:$E$128,"211",$CJ$6:$CJ$128)</f>
        <v>1766746262</v>
      </c>
      <c r="CK134" s="95">
        <f>SUMIF($E$6:$E$128,"211",$CK$6:$CK$128)</f>
        <v>0</v>
      </c>
      <c r="CL134" s="95">
        <f>SUMIF($E$6:$E$128,"211",$CL$6:$CL$128)</f>
        <v>0</v>
      </c>
      <c r="CM134" s="95">
        <f>SUMIF($E$6:$E$128,"211",$CM$6:$CM$128)</f>
        <v>202400000</v>
      </c>
      <c r="CN134" s="95">
        <f>SUMIF($E$6:$E$128,"211",$CN$6:$CN$128)</f>
        <v>35000000</v>
      </c>
      <c r="CO134" s="95">
        <f>SUMIF($E$6:$E$128,"211",$CO$6:$CO$128)</f>
        <v>0</v>
      </c>
      <c r="CP134" s="95">
        <f>SUMIF($E$6:$E$128,"211",$CP$6:$CP$128)</f>
        <v>0</v>
      </c>
      <c r="CQ134" s="95">
        <f>SUMIF($E$6:$E$128,"211",$CQ$6:$CQ$128)</f>
        <v>0</v>
      </c>
      <c r="CR134" s="95">
        <f>SUMIF($E$6:$E$128,"211",$CR$6:$CR$128)</f>
        <v>324980000</v>
      </c>
      <c r="CS134" s="95">
        <f>SUMIF($E$6:$E$128,"211",$CS$6:$CS$128)</f>
        <v>0</v>
      </c>
      <c r="CT134" s="95">
        <f>SUMIF($E$6:$E$128,"211",$CT$6:$CT$128)</f>
        <v>0</v>
      </c>
      <c r="CU134" s="95">
        <f>SUMIF($E$6:$E$128,"211",$CU$6:$CU$128)</f>
        <v>0</v>
      </c>
      <c r="CV134" s="95">
        <f>SUMIF($E$6:$E$128,"211",$CV$6:$CV$128)</f>
        <v>0</v>
      </c>
      <c r="CW134" s="95">
        <f>SUMIF($E$6:$E$128,"211",$CW$6:$CW$128)</f>
        <v>0</v>
      </c>
      <c r="CX134" s="95">
        <f>SUMIF($E$6:$E$128,"211",$CX$6:$CX$128)</f>
        <v>745957544</v>
      </c>
      <c r="CY134" s="95">
        <f>SUMIF($E$6:$E$128,"211",$CY$6:$CY$128)</f>
        <v>82861933</v>
      </c>
      <c r="CZ134" s="95">
        <f>SUMIF($E$6:$E$128,"211",$CZ$6:$CZ$128)</f>
        <v>49963689</v>
      </c>
      <c r="DA134" s="95">
        <f>SUMIF($E$6:$E$128,"211",$DA$6:$DA$128)</f>
        <v>0</v>
      </c>
      <c r="DB134" s="95">
        <f>SUMIF($E$6:$E$128,"211",$DB$6:$DB$128)</f>
        <v>44817066</v>
      </c>
      <c r="DC134" s="98">
        <f>SUMIF($E$6:$E$128,"211",$DC$6:$DC$128)</f>
        <v>491589620</v>
      </c>
      <c r="DD134" s="23">
        <f t="shared" ca="1" si="110"/>
        <v>0.59017043112291101</v>
      </c>
      <c r="DE134" s="26">
        <f t="shared" ca="1" si="111"/>
        <v>6189428043</v>
      </c>
      <c r="DF134" s="96">
        <f ca="1">SUMIF($E$6:$E$129,"211",$DF$6:$DF$128)</f>
        <v>851998272</v>
      </c>
      <c r="DG134" s="96">
        <f>SUMIF($E$6:$E$128,"211",$DG$6:$DG$128)</f>
        <v>249198837</v>
      </c>
      <c r="DH134" s="96">
        <f>SUMIF($E$6:$E$128,"211",$DH$6:$DH$128)</f>
        <v>0</v>
      </c>
      <c r="DI134" s="96">
        <f>SUMIF($E$6:$E$128,"211",$DI$6:$DI$128)</f>
        <v>2952962483</v>
      </c>
      <c r="DJ134" s="96">
        <f>SUMIF($E$6:$E$128,"211",$DJ$6:$DJ$128)</f>
        <v>0</v>
      </c>
      <c r="DK134" s="96">
        <f>SUMIF($E$6:$E$128,"211",$DK$6:$DK$128)</f>
        <v>0</v>
      </c>
      <c r="DL134" s="96">
        <f>SUMIF($E$6:$E$128,"211",$DL$6:$DL$128)</f>
        <v>10023035</v>
      </c>
      <c r="DM134" s="96">
        <f>SUMIF($E$6:$E$128,"211",$DM$6:$DM$128)</f>
        <v>115000000</v>
      </c>
      <c r="DN134" s="96">
        <f>SUMIF($E$6:$E$128,"211",$DN$6:$DN$128)</f>
        <v>0</v>
      </c>
      <c r="DO134" s="96">
        <f>SUMIF($E$6:$E$128,"211",$DO$6:$DO$128)</f>
        <v>346546789</v>
      </c>
      <c r="DP134" s="99">
        <f>SUMIF($E$6:$E$128,"211",$DP$6:$DP$128)</f>
        <v>70000000</v>
      </c>
      <c r="DQ134" s="99">
        <f>SUMIF($E$6:$E$128,"211",$DQ$6:$DQ$128)</f>
        <v>295286250</v>
      </c>
      <c r="DR134" s="99">
        <f>SUMIF($E$6:$E$128,"211",$DR$6:$DR$128)</f>
        <v>47237313</v>
      </c>
      <c r="DS134" s="99">
        <f>SUMIF($E$6:$E$128,"211",$DS$6:$DS$128)</f>
        <v>76223671</v>
      </c>
      <c r="DT134" s="99">
        <f>SUMIF($E$6:$E$128,"211",$DT$6:$DT$128)</f>
        <v>40997954</v>
      </c>
      <c r="DU134" s="99">
        <f>SUMIF($E$6:$E$128,"211",$DU$6:$DU$128)</f>
        <v>0</v>
      </c>
      <c r="DV134" s="99">
        <f>SUMIF($E$6:$E$128,"211",$DV$6:$DV$128)</f>
        <v>0</v>
      </c>
      <c r="DW134" s="99">
        <f>SUMIF($E$6:$E$128,"211",$DW$6:$DW$128)</f>
        <v>542220033</v>
      </c>
      <c r="DX134" s="99">
        <f>SUMIF($E$6:$E$128,"211",$DX$6:$DX$128)</f>
        <v>7138067</v>
      </c>
      <c r="DY134" s="99">
        <f>SUMIF($E$6:$E$128,"211",$DY$6:$DY$128)</f>
        <v>74318209</v>
      </c>
      <c r="DZ134" s="99">
        <f>SUMIF($E$6:$E$128,"211",$DZ$6:$DZ$128)</f>
        <v>0</v>
      </c>
      <c r="EA134" s="99">
        <f>SUMIF($E$6:$E$128,"211",$EA$6:$EA$128)</f>
        <v>2137483</v>
      </c>
      <c r="EB134" s="99">
        <f>SUMIF($E$6:$E$128,"211",$EB$6:$EB$128)</f>
        <v>508139647</v>
      </c>
      <c r="ED134" s="27">
        <f t="shared" ca="1" si="112"/>
        <v>10487526512</v>
      </c>
      <c r="EE134" s="27">
        <f t="shared" si="60"/>
        <v>10487526512</v>
      </c>
      <c r="EF134" s="27">
        <f t="shared" ca="1" si="61"/>
        <v>10487526512</v>
      </c>
    </row>
    <row r="135" spans="1:136" ht="18" customHeight="1" x14ac:dyDescent="0.25">
      <c r="C135" s="100"/>
      <c r="D135" s="91" t="s">
        <v>239</v>
      </c>
      <c r="E135" s="101">
        <v>301</v>
      </c>
      <c r="F135" s="92"/>
      <c r="G135" s="93">
        <f ca="1">SUMIF($E$6:$G$129,"301",$G$6:$J$128)</f>
        <v>4618928674</v>
      </c>
      <c r="H135" s="94">
        <f ca="1">SUMIF($E$6:$H$129,"301",$H$6:$J$128)</f>
        <v>4682573500</v>
      </c>
      <c r="I135" s="94">
        <f ca="1">SUMIF($E$6:$I$129,"301",$I$6:$J$128)</f>
        <v>63644826</v>
      </c>
      <c r="J135" s="93">
        <f>SUMIF($E$6:$E$129,"301",$J$6:$J$129)</f>
        <v>1124229659</v>
      </c>
      <c r="K135" s="93">
        <f>SUMIF($E$6:$E$129,"301",$K$6:$K$129)</f>
        <v>248478958</v>
      </c>
      <c r="L135" s="93">
        <f>SUMIF($E$6:$E$129,"301",$L$6:$L$129)</f>
        <v>24243035</v>
      </c>
      <c r="M135" s="93">
        <f>SUMIF($E$6:$E$129,"301",$M$6:$M$129)</f>
        <v>405520570</v>
      </c>
      <c r="N135" s="95">
        <f>SUMIF($E$6:$E$128,"301",$N$6:$N$128)</f>
        <v>0</v>
      </c>
      <c r="O135" s="92">
        <f>SUMIF($E$6:$E$128,"301",$O$6:$O$128)</f>
        <v>0</v>
      </c>
      <c r="P135" s="92">
        <f>SUMIF($E$6:$E$128,"301",$P$6:$P$128)</f>
        <v>0</v>
      </c>
      <c r="Q135" s="92">
        <f>SUMIF($E$6:$E$128,"301",$Q$6:$Q$128)</f>
        <v>0</v>
      </c>
      <c r="R135" s="92">
        <f>SUMIF($E$6:$E$128,"301",$R$6:$R$128)</f>
        <v>0</v>
      </c>
      <c r="S135" s="92">
        <f>SUMIF($E$6:$E$128,"301",$S$6:$S$128)</f>
        <v>0</v>
      </c>
      <c r="T135" s="92">
        <f>SUMIF($E$6:$E$128,"301",$T$6:$T$128)</f>
        <v>0</v>
      </c>
      <c r="U135" s="92">
        <f>SUMIF($E$6:$E$128,"301",$U$6:$U$128)</f>
        <v>0</v>
      </c>
      <c r="V135" s="92">
        <f>SUMIF($E$6:$E$128,"301",$V$6:$V$128)</f>
        <v>0</v>
      </c>
      <c r="W135" s="92">
        <f>SUMIF($E$6:$E$128,"301",$W$6:$W$128)</f>
        <v>0</v>
      </c>
      <c r="X135" s="92">
        <f>SUMIF($E$6:$E$128,"301",$X$6:$X$128)</f>
        <v>0</v>
      </c>
      <c r="Y135" s="92">
        <f>SUMIF($E$6:$E$128,"301",$Y$6:$Y$128)</f>
        <v>0</v>
      </c>
      <c r="Z135" s="92">
        <f>SUMIF($E$6:$E$128,"301",$Z$6:$Z$128)</f>
        <v>456521042</v>
      </c>
      <c r="AA135" s="92">
        <f>SUMIF($E$6:$E$128,"301",$AA$6:$AA$128)</f>
        <v>549500000</v>
      </c>
      <c r="AB135" s="92">
        <f>SUMIF($E$6:$E$128,"301",$AB$6:$AB$128)</f>
        <v>0</v>
      </c>
      <c r="AC135" s="92">
        <f>SUMIF($E$6:$E$128,"301",$AC$6:$AC$128)</f>
        <v>1729072560</v>
      </c>
      <c r="AD135" s="92"/>
      <c r="AE135" s="92">
        <f>SUMIF($E$6:$E$128,"301",$AE$6:$AE$128)</f>
        <v>0</v>
      </c>
      <c r="AF135" s="92">
        <f>SUMIF($E$6:$E$128,"301",$AF$6:$AF$128)</f>
        <v>81362850</v>
      </c>
      <c r="AG135" s="23">
        <f t="shared" ca="1" si="105"/>
        <v>0.46718510336537838</v>
      </c>
      <c r="AH135" s="95">
        <f>SUMIF($E$6:$E$128,"301",$AH$6:$AH$128)</f>
        <v>2157894670</v>
      </c>
      <c r="AI135" s="95">
        <f>SUMIF($E$6:$E$128,"301",$AI$6:$AI$128)</f>
        <v>341231333</v>
      </c>
      <c r="AJ135" s="95">
        <f>SUMIF($E$6:$E$128,"301",$AJ$6:$AJ$128)</f>
        <v>240679663</v>
      </c>
      <c r="AK135" s="95">
        <f>SUMIF($E$6:$E$128,"301",$AK$6:$AK$128)</f>
        <v>2000000</v>
      </c>
      <c r="AL135" s="95">
        <f>SUMIF($E$6:$E$128,"301",$AL$6:$AL$128)</f>
        <v>165734932</v>
      </c>
      <c r="AM135" s="95">
        <f>SUMIF($E$6:$E$128,"301",$AM$6:$AM$128)</f>
        <v>0</v>
      </c>
      <c r="AN135" s="95">
        <f>SUMIF($E$6:$E$128,"301",$AN$6:$AN$128)</f>
        <v>0</v>
      </c>
      <c r="AO135" s="95">
        <f>SUMIF($E$6:$E$128,"301",$AO$6:$AO$128)</f>
        <v>0</v>
      </c>
      <c r="AP135" s="95">
        <f>SUMIF($E$6:$E$128,"301",$AP$6:$AP$128)</f>
        <v>0</v>
      </c>
      <c r="AQ135" s="95">
        <f>SUMIF($E$6:$E$128,"301",$AQ$6:$AQ$128)</f>
        <v>0</v>
      </c>
      <c r="AR135" s="95">
        <f>SUMIF($E$6:$E$128,"301",$AR$6:$AR$128)</f>
        <v>0</v>
      </c>
      <c r="AS135" s="95">
        <f>SUMIF($E$6:$E$128,"301",$AS$6:$AS$128)</f>
        <v>0</v>
      </c>
      <c r="AT135" s="95">
        <f>SUMIF($E$6:$E$128,"301",$AT$6:$AT$128)</f>
        <v>0</v>
      </c>
      <c r="AU135" s="95">
        <f>SUMIF($E$6:$E$128,"301",$AU$6:$AU$128)</f>
        <v>0</v>
      </c>
      <c r="AV135" s="95">
        <f>SUMIF($E$6:$E$128,"301",$AV$6:$AV$128)</f>
        <v>0</v>
      </c>
      <c r="AW135" s="95">
        <f>SUMIF($E$6:$E$128,"301",$AW$6:$AW$128)</f>
        <v>0</v>
      </c>
      <c r="AX135" s="95">
        <f>SUMIF($E$6:$E$128,"301",$AX$6:$AX$128)</f>
        <v>0</v>
      </c>
      <c r="AY135" s="95">
        <f>SUMIF($E$6:$E$128,"301",$AY$6:$AY$128)</f>
        <v>374254611</v>
      </c>
      <c r="AZ135" s="95">
        <f>SUMIF($E$6:$E$128,"301",$AZ$6:$AZ$128)</f>
        <v>140874848</v>
      </c>
      <c r="BA135" s="95">
        <f>SUMIF($E$6:$E$128,"301",$BA$6:$BA$128)</f>
        <v>0</v>
      </c>
      <c r="BB135" s="95">
        <f>SUMIF($E$6:$E$128,"301",$BB$6:$BB$128)</f>
        <v>821205828</v>
      </c>
      <c r="BC135" s="95">
        <f>SUMIF($E$6:$E$128,"301",$BC$6:$BC$128)</f>
        <v>0</v>
      </c>
      <c r="BD135" s="95">
        <f>SUMIF($E$6:$E$128,"301",$BD$6:$BD$128)</f>
        <v>0</v>
      </c>
      <c r="BE135" s="95">
        <f>SUMIF($E$6:$E$128,"301",$BE$6:$BE$128)</f>
        <v>71913455</v>
      </c>
      <c r="BF135" s="77">
        <f t="shared" ca="1" si="106"/>
        <v>0.53281489663462156</v>
      </c>
      <c r="BG135" s="26">
        <f t="shared" si="107"/>
        <v>2461034004</v>
      </c>
      <c r="BH135" s="96">
        <f>SUMIF($E$6:$E$128,"301",$BH$6:$BH$128)</f>
        <v>782998326</v>
      </c>
      <c r="BI135" s="96">
        <f>SUMIF($E$6:$E$128,"301",$BI$6:$BI$128)</f>
        <v>7799295</v>
      </c>
      <c r="BJ135" s="96">
        <f>SUMIF($E$6:$E$128,"301",$BJ$6:$BJ$128)</f>
        <v>22243035</v>
      </c>
      <c r="BK135" s="96">
        <f>SUMIF($E$6:$E$128,"301",$BK$6:$BK$128)</f>
        <v>239785638</v>
      </c>
      <c r="BL135" s="96">
        <f>SUMIF($E$6:$E$128,"301",$BL$6:$BL$128)</f>
        <v>0</v>
      </c>
      <c r="BM135" s="96">
        <f>SUMIF($E$6:$E$128,"301",$BM$6:$BM$128)</f>
        <v>0</v>
      </c>
      <c r="BN135" s="96">
        <f>SUMIF($E$6:$E$128,"301",$BN$6:$BN$128)</f>
        <v>0</v>
      </c>
      <c r="BO135" s="96">
        <f>SUMIF($E$6:$E$128,"301",$BO$6:$BO$128)</f>
        <v>0</v>
      </c>
      <c r="BP135" s="96">
        <f>SUMIF($E$6:$E$128,"301",$BP$6:$BP$128)</f>
        <v>0</v>
      </c>
      <c r="BQ135" s="96">
        <f>SUMIF($E$6:$E$128,"301",$BQ$6:$BQ$128)</f>
        <v>0</v>
      </c>
      <c r="BR135" s="96">
        <f>SUMIF($E$6:$E$128,"301",$BR$6:$BR$128)</f>
        <v>0</v>
      </c>
      <c r="BS135" s="96">
        <f>SUMIF($E$6:$E$128,"301",$BS$6:$BS$128)</f>
        <v>0</v>
      </c>
      <c r="BT135" s="96">
        <f>SUMIF($E$6:$E$128,"301",$BT$6:$BT$128)</f>
        <v>0</v>
      </c>
      <c r="BU135" s="96">
        <f>SUMIF($E$6:$E$128,"301",$BU$6:$BU$128)</f>
        <v>0</v>
      </c>
      <c r="BV135" s="96">
        <f>SUMIF($E$6:$E$128,"301",$BV$6:$BV$128)</f>
        <v>0</v>
      </c>
      <c r="BW135" s="96">
        <f>SUMIF($E$6:$E$128,"301",$BW$6:$BW$128)</f>
        <v>0</v>
      </c>
      <c r="BX135" s="96">
        <f>SUMIF($E$6:$E$128,"301",$BX$6:$BX$128)</f>
        <v>82266431</v>
      </c>
      <c r="BY135" s="96">
        <f>SUMIF($E$6:$E$128,"301",$BY$6:$BY$128)</f>
        <v>408625152</v>
      </c>
      <c r="BZ135" s="96">
        <f>SUMIF($E$6:$E$128,"301",$BZ$6:$BZ$128)</f>
        <v>0</v>
      </c>
      <c r="CA135" s="96">
        <f>SUMIF($E$6:$E$128,"301",$CA$6:$CA$128)</f>
        <v>907866732</v>
      </c>
      <c r="CB135" s="96">
        <f>SUMIF($E$6:$E$128,"301",$CB$6:$CB$128)</f>
        <v>0</v>
      </c>
      <c r="CC135" s="96">
        <f>SUMIF($E$6:$E$128,"301",$CC$6:$CC$128)</f>
        <v>0</v>
      </c>
      <c r="CD135" s="97">
        <f>SUMIF($E$6:$E$128,"301",$CD$6:$CD$128)</f>
        <v>9449395</v>
      </c>
      <c r="CE135" s="23">
        <f t="shared" ca="1" si="108"/>
        <v>0.46718510336537838</v>
      </c>
      <c r="CF135" s="41">
        <f t="shared" si="109"/>
        <v>2157894670</v>
      </c>
      <c r="CG135" s="95">
        <f>SUMIF($E$6:$E$128,"301",$CG$6:$CG$128)</f>
        <v>341231333</v>
      </c>
      <c r="CH135" s="95">
        <f>SUMIF($E$6:$E$128,"301",$CH$6:$CH$128)</f>
        <v>240679663</v>
      </c>
      <c r="CI135" s="95">
        <f>SUMIF($E$6:$E$128,"301",$CI$6:$CI$128)</f>
        <v>2000000</v>
      </c>
      <c r="CJ135" s="95">
        <f>SUMIF($E$6:$E$128,"301",$CJ$6:$CJ$128)</f>
        <v>165734932</v>
      </c>
      <c r="CK135" s="95">
        <f>SUMIF($E$6:$E$128,"301",$CK$6:$CK$128)</f>
        <v>0</v>
      </c>
      <c r="CL135" s="95">
        <f>SUMIF($E$6:$E$128,"301",$CL$6:$CL$128)</f>
        <v>0</v>
      </c>
      <c r="CM135" s="95">
        <f>SUMIF($E$6:$E$128,"301",$CM$6:$CM$128)</f>
        <v>0</v>
      </c>
      <c r="CN135" s="95">
        <f>SUMIF($E$6:$E$128,"301",$CN$6:$CN$128)</f>
        <v>0</v>
      </c>
      <c r="CO135" s="95">
        <f>SUMIF($E$6:$E$128,"301",$CO$6:$CO$128)</f>
        <v>0</v>
      </c>
      <c r="CP135" s="95">
        <f>SUMIF($E$6:$E$128,"301",$CP$6:$CP$128)</f>
        <v>0</v>
      </c>
      <c r="CQ135" s="95">
        <f>SUMIF($E$6:$E$128,"301",$CQ$6:$CQ$128)</f>
        <v>0</v>
      </c>
      <c r="CR135" s="95">
        <f>SUMIF($E$6:$E$128,"301",$CR$6:$CR$128)</f>
        <v>0</v>
      </c>
      <c r="CS135" s="95">
        <f>SUMIF($E$6:$E$128,"301",$CS$6:$CS$128)</f>
        <v>0</v>
      </c>
      <c r="CT135" s="95">
        <f>SUMIF($E$6:$E$128,"301",$CT$6:$CT$128)</f>
        <v>0</v>
      </c>
      <c r="CU135" s="95">
        <f>SUMIF($E$6:$E$128,"301",$CU$6:$CU$128)</f>
        <v>0</v>
      </c>
      <c r="CV135" s="95">
        <f>SUMIF($E$6:$E$128,"301",$CV$6:$CV$128)</f>
        <v>0</v>
      </c>
      <c r="CW135" s="95">
        <f>SUMIF($E$6:$E$128,"301",$CW$6:$CW$128)</f>
        <v>374254611</v>
      </c>
      <c r="CX135" s="95">
        <f>SUMIF($E$6:$E$128,"301",$CX$6:$CX$128)</f>
        <v>140874848</v>
      </c>
      <c r="CY135" s="95">
        <f>SUMIF($E$6:$E$128,"301",$CY$6:$CY$128)</f>
        <v>0</v>
      </c>
      <c r="CZ135" s="95">
        <f>SUMIF($E$6:$E$128,"301",$CZ$6:$CZ$128)</f>
        <v>821205828</v>
      </c>
      <c r="DA135" s="95">
        <f>SUMIF($E$6:$E$128,"301",$DA$6:$DA$128)</f>
        <v>0</v>
      </c>
      <c r="DB135" s="95">
        <f>SUMIF($E$6:$E$128,"301",$DB$6:$DB$128)</f>
        <v>0</v>
      </c>
      <c r="DC135" s="98">
        <f>SUMIF($E$6:$E$128,"301",$DC$6:$DC$128)</f>
        <v>71913455</v>
      </c>
      <c r="DD135" s="23">
        <f t="shared" ca="1" si="110"/>
        <v>0.53281489663462156</v>
      </c>
      <c r="DE135" s="26">
        <f t="shared" ca="1" si="111"/>
        <v>2461034004</v>
      </c>
      <c r="DF135" s="96">
        <f ca="1">SUMIF($E$6:$E$129,"301",$DF$6:$DF$128)</f>
        <v>782998326</v>
      </c>
      <c r="DG135" s="96">
        <f>SUMIF($E$6:$E$128,"301",$DG$6:$DG$128)</f>
        <v>7799295</v>
      </c>
      <c r="DH135" s="96">
        <f>SUMIF($E$6:$E$128,"301",$DH$6:$DH$128)</f>
        <v>22243035</v>
      </c>
      <c r="DI135" s="96">
        <f>SUMIF($E$6:$E$128,"301",$DI$6:$DI$128)</f>
        <v>239785638</v>
      </c>
      <c r="DJ135" s="96">
        <f>SUMIF($E$6:$E$128,"301",$DJ$6:$DJ$128)</f>
        <v>0</v>
      </c>
      <c r="DK135" s="96">
        <f>SUMIF($E$6:$E$128,"301",$DK$6:$DK$128)</f>
        <v>0</v>
      </c>
      <c r="DL135" s="96">
        <f>SUMIF($E$6:$E$128,"301",$DL$6:$DL$128)</f>
        <v>0</v>
      </c>
      <c r="DM135" s="96">
        <f>SUMIF($E$6:$E$128,"301",$DM$6:$DM$128)</f>
        <v>0</v>
      </c>
      <c r="DN135" s="96">
        <f>SUMIF($E$6:$E$128,"301",$DN$6:$DN$128)</f>
        <v>0</v>
      </c>
      <c r="DO135" s="96">
        <f>SUMIF($E$6:$E$128,"301",$DO$6:$DO$128)</f>
        <v>0</v>
      </c>
      <c r="DP135" s="99">
        <f>SUMIF($E$6:$E$128,"301",$DP$6:$DP$128)</f>
        <v>0</v>
      </c>
      <c r="DQ135" s="99">
        <f>SUMIF($E$6:$E$128,"301",$DQ$6:$DQ$128)</f>
        <v>0</v>
      </c>
      <c r="DR135" s="99">
        <f>SUMIF($E$6:$E$128,"301",$DR$6:$DR$128)</f>
        <v>0</v>
      </c>
      <c r="DS135" s="99">
        <f>SUMIF($E$6:$E$128,"301",$DS$6:$DS$128)</f>
        <v>0</v>
      </c>
      <c r="DT135" s="99">
        <f>SUMIF($E$6:$E$128,"301",$DT$6:$DT$128)</f>
        <v>0</v>
      </c>
      <c r="DU135" s="99">
        <f>SUMIF($E$6:$E$128,"301",$DU$6:$DU$128)</f>
        <v>0</v>
      </c>
      <c r="DV135" s="99">
        <f>SUMIF($E$6:$E$128,"301",$DV$6:$DV$128)</f>
        <v>82266431</v>
      </c>
      <c r="DW135" s="99">
        <f>SUMIF($E$6:$E$128,"301",$DW$6:$DW$128)</f>
        <v>408625152</v>
      </c>
      <c r="DX135" s="99">
        <f>SUMIF($E$6:$E$128,"301",$DX$6:$DX$128)</f>
        <v>0</v>
      </c>
      <c r="DY135" s="99">
        <f>SUMIF($E$6:$E$128,"301",$DY$6:$DY$128)</f>
        <v>907866732</v>
      </c>
      <c r="DZ135" s="99">
        <f>SUMIF($E$6:$E$128,"301",$DZ$6:$DZ$128)</f>
        <v>0</v>
      </c>
      <c r="EA135" s="99">
        <f>SUMIF($E$6:$E$128,"301",$EA$6:$EA$128)</f>
        <v>0</v>
      </c>
      <c r="EB135" s="99">
        <f>SUMIF($E$6:$E$128,"301",$EB$6:$EB$128)</f>
        <v>9449395</v>
      </c>
      <c r="ED135" s="27">
        <f t="shared" ca="1" si="112"/>
        <v>4618928674</v>
      </c>
      <c r="EE135" s="27">
        <f t="shared" ref="EE135:EE140" si="113">+AH135+BG135</f>
        <v>4618928674</v>
      </c>
      <c r="EF135" s="27">
        <f t="shared" ref="EF135:EF140" ca="1" si="114">+CF135+DE135</f>
        <v>4618928674</v>
      </c>
    </row>
    <row r="136" spans="1:136" ht="16.5" customHeight="1" x14ac:dyDescent="0.25">
      <c r="C136" s="100"/>
      <c r="D136" s="91" t="s">
        <v>374</v>
      </c>
      <c r="E136" s="84">
        <v>310</v>
      </c>
      <c r="F136" s="92"/>
      <c r="G136" s="93">
        <f ca="1">SUMIF($E$6:$G$129,"310",$G$6:$J$128)</f>
        <v>1420900967</v>
      </c>
      <c r="H136" s="94">
        <f ca="1">SUMIF($E$6:$H$129,"310",$H$6:$J$128)</f>
        <v>2402277636</v>
      </c>
      <c r="I136" s="94">
        <f ca="1">SUMIF($E$6:$I$129,"310",$I$6:$J$128)</f>
        <v>981376669</v>
      </c>
      <c r="J136" s="93">
        <f>SUMIF($E$6:$E$128,"310",$J$6:$J$128)</f>
        <v>0</v>
      </c>
      <c r="K136" s="93">
        <f>SUMIF($E$6:$E$128,"310",$K$6:$K$128)</f>
        <v>399183902</v>
      </c>
      <c r="L136" s="93">
        <f>SUMIF($E$6:$E$129,"310",$L$6:$L$129)</f>
        <v>0</v>
      </c>
      <c r="M136" s="93">
        <f>SUMIF($E$6:$E$129,"310",$M$6:$M$129)</f>
        <v>478050814</v>
      </c>
      <c r="N136" s="95">
        <f>SUMIF($E$6:$E$128,"310",$N$6:$N$128)</f>
        <v>0</v>
      </c>
      <c r="O136" s="92">
        <f>SUMIF($E$6:$E$128,"310",$O$6:$O$128)</f>
        <v>0</v>
      </c>
      <c r="P136" s="92">
        <f>SUMIF($E$6:$E$128,"310",$P$6:$P$128)</f>
        <v>0</v>
      </c>
      <c r="Q136" s="92">
        <f>SUMIF($E$6:$E$128,"310",$Q$6:$Q$128)</f>
        <v>0</v>
      </c>
      <c r="R136" s="92">
        <f>SUMIF($E$6:$E$128,"310",$R$6:$R$128)</f>
        <v>0</v>
      </c>
      <c r="S136" s="92">
        <f>SUMIF($E$6:$E$128,"310",$S$6:$S$128)</f>
        <v>0</v>
      </c>
      <c r="T136" s="92">
        <f>SUMIF($E$6:$E$128,"310",$T$6:$T$128)</f>
        <v>0</v>
      </c>
      <c r="U136" s="92">
        <f>SUMIF($E$6:$E$128,"310",$U$6:$U$128)</f>
        <v>22935191</v>
      </c>
      <c r="V136" s="92">
        <f>SUMIF($E$6:$E$128,"310",$V$6:$V$128)</f>
        <v>0</v>
      </c>
      <c r="W136" s="92">
        <f>SUMIF($E$6:$E$128,"310",$W$6:$W$128)</f>
        <v>0</v>
      </c>
      <c r="X136" s="92">
        <f>SUMIF($E$6:$E$128,"310",$X$6:$X$128)</f>
        <v>0</v>
      </c>
      <c r="Y136" s="92">
        <f>SUMIF($E$6:$E$128,"310",$Y$6:$Y$128)</f>
        <v>0</v>
      </c>
      <c r="Z136" s="92">
        <f>SUMIF($E$6:$E$128,"310",$Z$6:$Z$128)</f>
        <v>432000000</v>
      </c>
      <c r="AA136" s="92">
        <f>SUMIF($E$6:$E$128,"310",$AA$6:$AA$128)</f>
        <v>0</v>
      </c>
      <c r="AB136" s="92">
        <f>SUMIF($E$6:$E$128,"310",$AB$6:$AB$128)</f>
        <v>0</v>
      </c>
      <c r="AC136" s="92">
        <f>SUMIF($E$6:$E$105,"310",$AC$6:$AC$105)</f>
        <v>0</v>
      </c>
      <c r="AD136" s="92"/>
      <c r="AE136" s="92">
        <f>SUMIF($E$6:$E$128,"310",$AE$6:$AE$128)</f>
        <v>0</v>
      </c>
      <c r="AF136" s="92">
        <f>SUMIF($E$6:$E$128,"310",$AF$6:$AF$128)</f>
        <v>88731060</v>
      </c>
      <c r="AG136" s="23">
        <f t="shared" ca="1" si="105"/>
        <v>0.63672269849331453</v>
      </c>
      <c r="AH136" s="95">
        <f>SUMIF($E$6:$E$128,"310",$AH$6:$AH$128)</f>
        <v>904719898</v>
      </c>
      <c r="AI136" s="95">
        <f>SUMIF($E$6:$E$128,"310",$AI$6:$AI$128)</f>
        <v>0</v>
      </c>
      <c r="AJ136" s="95">
        <f>SUMIF($E$6:$E$128,"310",$AJ$6:$AJ$128)</f>
        <v>228616494</v>
      </c>
      <c r="AK136" s="95">
        <f>SUMIF($E$6:$E$128,"310",$AK$6:$AK$128)</f>
        <v>0</v>
      </c>
      <c r="AL136" s="95">
        <f>SUMIF($E$6:$E$128,"310",$AL$6:$AL$128)</f>
        <v>447284183</v>
      </c>
      <c r="AM136" s="95">
        <f>SUMIF($E$6:$E$128,"310",$AM$6:$AM$128)</f>
        <v>0</v>
      </c>
      <c r="AN136" s="95">
        <f>SUMIF($E$6:$E$128,"310",$AN$6:$AN$128)</f>
        <v>0</v>
      </c>
      <c r="AO136" s="95">
        <f>SUMIF($E$6:$E$128,"310",$AO$6:$AO$128)</f>
        <v>0</v>
      </c>
      <c r="AP136" s="95">
        <f>SUMIF($E$6:$E$128,"310",$AP$6:$AP$128)</f>
        <v>0</v>
      </c>
      <c r="AQ136" s="95">
        <f>SUMIF($E$6:$E$128,"310",$AQ$6:$AQ$128)</f>
        <v>0</v>
      </c>
      <c r="AR136" s="95">
        <f>SUMIF($E$6:$E$128,"310",$AR$6:$AR$128)</f>
        <v>0</v>
      </c>
      <c r="AS136" s="95">
        <f>SUMIF($E$6:$E$128,"310",$AS$6:$AS$128)</f>
        <v>0</v>
      </c>
      <c r="AT136" s="95">
        <f>SUMIF($E$6:$E$128,"310",$AT$6:$AT$128)</f>
        <v>18174807</v>
      </c>
      <c r="AU136" s="95">
        <f>SUMIF($E$6:$E$128,"310",$AU$6:$AU$128)</f>
        <v>0</v>
      </c>
      <c r="AV136" s="95">
        <f>SUMIF($E$6:$E$128,"310",$AV$6:$AV$128)</f>
        <v>0</v>
      </c>
      <c r="AW136" s="95">
        <f>SUMIF($E$6:$E$128,"310",$AW$6:$AW$128)</f>
        <v>0</v>
      </c>
      <c r="AX136" s="95">
        <f>SUMIF($E$6:$E$128,"310",$AX$6:$AX$128)</f>
        <v>0</v>
      </c>
      <c r="AY136" s="95">
        <f>SUMIF($E$6:$E$128,"310",$AY$6:$AY$128)</f>
        <v>151941113</v>
      </c>
      <c r="AZ136" s="95">
        <f>SUMIF($E$6:$E$128,"310",$AZ$6:$AZ$128)</f>
        <v>0</v>
      </c>
      <c r="BA136" s="95">
        <f>SUMIF($E$6:$E$128,"310",$BA$6:$BA$128)</f>
        <v>0</v>
      </c>
      <c r="BB136" s="95">
        <f>SUMIF($E$6:$E$128,"310",$BB$6:$BB$128)</f>
        <v>0</v>
      </c>
      <c r="BC136" s="95">
        <f>SUMIF($E$6:$E$128,"310",$BC$6:$BC$128)</f>
        <v>0</v>
      </c>
      <c r="BD136" s="95">
        <f>SUMIF($E$6:$E$128,"310",$BD$6:$BD$128)</f>
        <v>0</v>
      </c>
      <c r="BE136" s="95">
        <f>SUMIF($E$6:$E$128,"310",$BE$6:$BE$128)</f>
        <v>58703301</v>
      </c>
      <c r="BF136" s="77">
        <f t="shared" ca="1" si="106"/>
        <v>0.36327730150668547</v>
      </c>
      <c r="BG136" s="26">
        <f t="shared" si="107"/>
        <v>516181069</v>
      </c>
      <c r="BH136" s="96">
        <f>SUMIF($E$6:$E$128,"310",$BH$6:$BH$128)</f>
        <v>0</v>
      </c>
      <c r="BI136" s="96">
        <f>SUMIF($E$6:$E$128,"310",$BI$6:$BI$128)</f>
        <v>170567408</v>
      </c>
      <c r="BJ136" s="96">
        <f>SUMIF($E$6:$E$128,"310",$BJ$6:$BJ$128)</f>
        <v>0</v>
      </c>
      <c r="BK136" s="96">
        <f>SUMIF($E$6:$E$128,"310",$BK$6:$BK$128)</f>
        <v>30766631</v>
      </c>
      <c r="BL136" s="96">
        <f>SUMIF($E$6:$E$128,"310",$BL$6:$BL$128)</f>
        <v>0</v>
      </c>
      <c r="BM136" s="96">
        <f>SUMIF($E$6:$E$128,"310",$BM$6:$BM$128)</f>
        <v>0</v>
      </c>
      <c r="BN136" s="96">
        <f>SUMIF($E$6:$E$128,"310",$BN$6:$BN$128)</f>
        <v>0</v>
      </c>
      <c r="BO136" s="96">
        <f>SUMIF($E$6:$E$128,"310",$BO$6:$BO$128)</f>
        <v>0</v>
      </c>
      <c r="BP136" s="96">
        <f>SUMIF($E$6:$E$128,"310",$BP$6:$BP$128)</f>
        <v>0</v>
      </c>
      <c r="BQ136" s="96">
        <f>SUMIF($E$6:$E$128,"310",$BQ$6:$BQ$128)</f>
        <v>0</v>
      </c>
      <c r="BR136" s="96">
        <f>SUMIF($E$6:$E$128,"310",$BR$6:$BR$128)</f>
        <v>0</v>
      </c>
      <c r="BS136" s="96">
        <f>SUMIF($E$6:$E$128,"310",$BS$6:$BS$128)</f>
        <v>4760384</v>
      </c>
      <c r="BT136" s="96">
        <f>SUMIF($E$6:$E$128,"310",$BT$6:$BT$128)</f>
        <v>0</v>
      </c>
      <c r="BU136" s="96">
        <f>SUMIF($E$6:$E$128,"310",$BU$6:$BU$128)</f>
        <v>0</v>
      </c>
      <c r="BV136" s="96">
        <f>SUMIF($E$6:$E$128,"310",$BV$6:$BV$128)</f>
        <v>0</v>
      </c>
      <c r="BW136" s="96">
        <f>SUMIF($E$6:$E$128,"310",$BW$6:$BW$128)</f>
        <v>0</v>
      </c>
      <c r="BX136" s="96">
        <f>SUMIF($E$6:$E$128,"310",$BX$6:$BX$128)</f>
        <v>280058887</v>
      </c>
      <c r="BY136" s="96">
        <f>SUMIF($E$6:$E$128,"310",$BY$6:$BY$128)</f>
        <v>0</v>
      </c>
      <c r="BZ136" s="96">
        <f>SUMIF($E$6:$E$128,"310",$BZ$6:$BZ$128)</f>
        <v>0</v>
      </c>
      <c r="CA136" s="96">
        <f>SUMIF($E$6:$E$128,"310",$CA$6:$CA$128)</f>
        <v>0</v>
      </c>
      <c r="CB136" s="96">
        <f>SUMIF($E$6:$E$128,"310",$CB$6:$CB$128)</f>
        <v>0</v>
      </c>
      <c r="CC136" s="96">
        <f>SUMIF($E$6:$E$128,"310",$CC$6:$CC$128)</f>
        <v>0</v>
      </c>
      <c r="CD136" s="97">
        <f>SUMIF($E$6:$E$128,"310",$CD$6:$CD$128)</f>
        <v>30027759</v>
      </c>
      <c r="CE136" s="23">
        <f t="shared" ca="1" si="108"/>
        <v>0.63672269849331453</v>
      </c>
      <c r="CF136" s="41">
        <f t="shared" si="109"/>
        <v>904719898</v>
      </c>
      <c r="CG136" s="95">
        <f>SUMIF($E$6:$E$128,"310",$CG$6:$CG$128)</f>
        <v>0</v>
      </c>
      <c r="CH136" s="95">
        <f>SUMIF($E$6:$E$128,"310",$CH$6:$CH$128)</f>
        <v>228616494</v>
      </c>
      <c r="CI136" s="95">
        <f>SUMIF($E$6:$E$128,"310",$CI$6:$CI$128)</f>
        <v>0</v>
      </c>
      <c r="CJ136" s="95">
        <f>SUMIF($E$6:$E$128,"310",$CJ$6:$CJ$128)</f>
        <v>447284183</v>
      </c>
      <c r="CK136" s="95">
        <f>SUMIF($E$6:$E$128,"310",$CK$6:$CK$128)</f>
        <v>0</v>
      </c>
      <c r="CL136" s="95">
        <f>SUMIF($E$6:$E$128,"310",$CL$6:$CL$128)</f>
        <v>0</v>
      </c>
      <c r="CM136" s="95">
        <f>SUMIF($E$6:$E$128,"310",$CM$6:$CM$128)</f>
        <v>0</v>
      </c>
      <c r="CN136" s="95">
        <f>SUMIF($E$6:$E$128,"310",$CN$6:$CN$128)</f>
        <v>0</v>
      </c>
      <c r="CO136" s="95">
        <f>SUMIF($E$6:$E$128,"310",$CO$6:$CO$128)</f>
        <v>0</v>
      </c>
      <c r="CP136" s="95">
        <f>SUMIF($E$6:$E$128,"310",$CP$6:$CP$128)</f>
        <v>0</v>
      </c>
      <c r="CQ136" s="95">
        <f>SUMIF($E$6:$E$128,"310",$CQ$6:$CQ$128)</f>
        <v>0</v>
      </c>
      <c r="CR136" s="95">
        <f>SUMIF($E$6:$E$128,"310",$CR$6:$CR$128)</f>
        <v>18174807</v>
      </c>
      <c r="CS136" s="95">
        <f>SUMIF($E$6:$E$128,"310",$CS$6:$CS$128)</f>
        <v>0</v>
      </c>
      <c r="CT136" s="95">
        <f>SUMIF($E$6:$E$128,"310",$CT$6:$CT$128)</f>
        <v>0</v>
      </c>
      <c r="CU136" s="95">
        <f>SUMIF($E$6:$E$128,"310",$CU$6:$CU$128)</f>
        <v>0</v>
      </c>
      <c r="CV136" s="95">
        <f>SUMIF($E$6:$E$128,"310",$CV$6:$CV$128)</f>
        <v>0</v>
      </c>
      <c r="CW136" s="95">
        <f>SUMIF($E$6:$E$128,"310",$CW$6:$CW$128)</f>
        <v>151941113</v>
      </c>
      <c r="CX136" s="95">
        <f>SUMIF($E$6:$E$128,"310",$CX$6:$CX$128)</f>
        <v>0</v>
      </c>
      <c r="CY136" s="95">
        <f>SUMIF($E$6:$E$128,"310",$CY$6:$CY$128)</f>
        <v>0</v>
      </c>
      <c r="CZ136" s="95">
        <f>SUMIF($E$6:$E$128,"310",$CZ$6:$CZ$128)</f>
        <v>0</v>
      </c>
      <c r="DA136" s="95">
        <f>SUMIF($E$6:$E$128,"310",$DA$6:$DA$128)</f>
        <v>0</v>
      </c>
      <c r="DB136" s="95">
        <f>SUMIF($E$6:$E$128,"310",$DB$6:$DB$128)</f>
        <v>0</v>
      </c>
      <c r="DC136" s="98">
        <f>SUMIF($E$6:$E$128,"310",$DC$6:$DC$128)</f>
        <v>58703301</v>
      </c>
      <c r="DD136" s="23">
        <f t="shared" ca="1" si="110"/>
        <v>0.36327730150668547</v>
      </c>
      <c r="DE136" s="26">
        <f t="shared" si="111"/>
        <v>516181069</v>
      </c>
      <c r="DF136" s="96">
        <f>SUMIF($E$6:$E$128,"310",$DF$6:$DF$128)</f>
        <v>0</v>
      </c>
      <c r="DG136" s="96">
        <f>SUMIF($E$6:$E$128,"310",$DG$6:$DG$128)</f>
        <v>170567408</v>
      </c>
      <c r="DH136" s="96">
        <f>SUMIF($E$6:$E$128,"310",$DH$6:$DH$128)</f>
        <v>0</v>
      </c>
      <c r="DI136" s="96">
        <f>SUMIF($E$6:$E$128,"310",$DI$6:$DI$128)</f>
        <v>30766631</v>
      </c>
      <c r="DJ136" s="96">
        <f>SUMIF($E$6:$E$128,"310",$DJ$6:$DJ$128)</f>
        <v>0</v>
      </c>
      <c r="DK136" s="96">
        <f>SUMIF($E$6:$E$128,"310",$DK$6:$DK$128)</f>
        <v>0</v>
      </c>
      <c r="DL136" s="96">
        <f>SUMIF($E$6:$E$128,"310",$DL$6:$DL$128)</f>
        <v>0</v>
      </c>
      <c r="DM136" s="96">
        <f>SUMIF($E$6:$E$128,"310",$DM$6:$DM$128)</f>
        <v>0</v>
      </c>
      <c r="DN136" s="96">
        <f>SUMIF($E$6:$E$128,"310",$DN$6:$DN$128)</f>
        <v>0</v>
      </c>
      <c r="DO136" s="96">
        <f>SUMIF($E$6:$E$128,"310",$DO$6:$DO$128)</f>
        <v>0</v>
      </c>
      <c r="DP136" s="99">
        <f>SUMIF($E$6:$E$128,"310",$DP$6:$DP$128)</f>
        <v>0</v>
      </c>
      <c r="DQ136" s="99">
        <f>SUMIF($E$6:$E$128,"310",$DQ$6:$DQ$128)</f>
        <v>4760384</v>
      </c>
      <c r="DR136" s="99">
        <f>SUMIF($E$6:$E$128,"310",$DR$6:$DR$128)</f>
        <v>0</v>
      </c>
      <c r="DS136" s="99">
        <f>SUMIF($E$6:$E$128,"310",$DS$6:$DS$128)</f>
        <v>0</v>
      </c>
      <c r="DT136" s="99">
        <f>SUMIF($E$6:$E$128,"310",$DT$6:$DT$128)</f>
        <v>0</v>
      </c>
      <c r="DU136" s="99">
        <f>SUMIF($E$6:$E$128,"310",$DU$6:$DU$128)</f>
        <v>0</v>
      </c>
      <c r="DV136" s="99">
        <f>SUMIF($E$6:$E$128,"310",$DV$6:$DV$128)</f>
        <v>280058887</v>
      </c>
      <c r="DW136" s="99">
        <f>SUMIF($E$6:$E$128,"310",$DW$6:$DW$128)</f>
        <v>0</v>
      </c>
      <c r="DX136" s="99">
        <f>SUMIF($E$6:$E$128,"310",$DX$6:$DX$128)</f>
        <v>0</v>
      </c>
      <c r="DY136" s="99">
        <f>SUMIF($E$6:$E$128,"310",$DY$6:$DY$128)</f>
        <v>0</v>
      </c>
      <c r="DZ136" s="99">
        <f>SUMIF($E$6:$E$128,"310",$DZ$6:$DZ$128)</f>
        <v>0</v>
      </c>
      <c r="EA136" s="99">
        <f>SUMIF($E$6:$E$128,"310",$EA$6:$EA$128)</f>
        <v>0</v>
      </c>
      <c r="EB136" s="99">
        <f>SUMIF($E$6:$E$128,"310",$EB$6:$EB$128)</f>
        <v>30027759</v>
      </c>
      <c r="ED136" s="27">
        <f t="shared" ca="1" si="112"/>
        <v>1420900967</v>
      </c>
      <c r="EE136" s="27">
        <f t="shared" si="113"/>
        <v>1420900967</v>
      </c>
      <c r="EF136" s="27">
        <f t="shared" si="114"/>
        <v>1420900967</v>
      </c>
    </row>
    <row r="137" spans="1:136" ht="15" x14ac:dyDescent="0.25">
      <c r="C137" s="102"/>
      <c r="D137" s="91" t="s">
        <v>375</v>
      </c>
      <c r="E137" s="84">
        <v>410</v>
      </c>
      <c r="F137" s="92"/>
      <c r="G137" s="93">
        <f ca="1">SUMIF($E$6:$G$129,"410",$G$6:$J$128)</f>
        <v>9209707080</v>
      </c>
      <c r="H137" s="94">
        <f ca="1">SUMIF($E$6:$H$129,"410",$H$6:$J$128)</f>
        <v>7720196000</v>
      </c>
      <c r="I137" s="94">
        <f ca="1">SUMIF($E$6:$I$129,"410",$I$6:$J$128)</f>
        <v>-1489511080</v>
      </c>
      <c r="J137" s="93">
        <f>SUMIF($E$6:$E$128,"410",$J$6:$J$128)</f>
        <v>0</v>
      </c>
      <c r="K137" s="93">
        <f>SUMIF($E$6:$E$129,"410",$K$6:$K$129)</f>
        <v>477989917</v>
      </c>
      <c r="L137" s="93">
        <f>SUMIF($E$6:$E$129,"410",$L$6:$L$129)</f>
        <v>0</v>
      </c>
      <c r="M137" s="93">
        <f>SUMIF($E$6:$E$129,"410",$M$6:$M$129)</f>
        <v>0</v>
      </c>
      <c r="N137" s="95">
        <f>SUMIF($E$6:$E$128,"410",$N$6:$N$128)</f>
        <v>0</v>
      </c>
      <c r="O137" s="92">
        <f>SUMIF($E$6:$E$128,"410",$O$6:$O$128)</f>
        <v>0</v>
      </c>
      <c r="P137" s="92">
        <f>SUMIF($E$6:$E$128,"410",$P$6:$P$128)</f>
        <v>0</v>
      </c>
      <c r="Q137" s="92">
        <f>SUMIF($E$6:$E$128,"410",$Q$6:$Q$128)</f>
        <v>3406132571</v>
      </c>
      <c r="R137" s="92">
        <f>SUMIF($E$6:$E$128,"410",$R$6:$R$128)</f>
        <v>75000000</v>
      </c>
      <c r="S137" s="92">
        <f>SUMIF($E$6:$E$128,"410",$S$6:$S$128)</f>
        <v>180000000</v>
      </c>
      <c r="T137" s="92">
        <f>SUMIF($E$6:$E$128,"410",$T$6:$T$128)</f>
        <v>30000000</v>
      </c>
      <c r="U137" s="92">
        <f>SUMIF($E$6:$E$128,"410",$U$6:$U$128)</f>
        <v>58135548</v>
      </c>
      <c r="V137" s="92">
        <f>SUMIF($E$6:$E$128,"410",$V$6:$V$128)</f>
        <v>0</v>
      </c>
      <c r="W137" s="92">
        <f>SUMIF($E$6:$E$128,"410",$W$6:$W$128)</f>
        <v>0</v>
      </c>
      <c r="X137" s="92">
        <f>SUMIF($E$6:$E$128,"410",$X$6:$X$128)</f>
        <v>104834591</v>
      </c>
      <c r="Y137" s="92">
        <f>SUMIF($E$6:$E$128,"410",$Y$6:$Y$128)</f>
        <v>2860154075</v>
      </c>
      <c r="Z137" s="92">
        <f>SUMIF($E$6:$E$128,"410",$Z$6:$Z$128)</f>
        <v>0</v>
      </c>
      <c r="AA137" s="92">
        <f>SUMIF($E$6:$E$128,"410",$AA$6:$AA$128)</f>
        <v>625000000</v>
      </c>
      <c r="AB137" s="92">
        <f>SUMIF($E$6:$E$105,"410",$AB$6:$AB$105)</f>
        <v>392155169</v>
      </c>
      <c r="AC137" s="92">
        <f>SUMIF($E$6:$E$105,"410",$AC$6:$AC$105)</f>
        <v>0</v>
      </c>
      <c r="AD137" s="92">
        <f>SUMIF($E$6:$E$128,"410",$AD$6:$AD$128)</f>
        <v>475996742</v>
      </c>
      <c r="AE137" s="92">
        <f>SUMIF($E$6:$E$128,"410",$AE$6:$AE$128)</f>
        <v>0</v>
      </c>
      <c r="AF137" s="92">
        <f>SUMIF($E$6:$E$128,"410",$AF$6:$AF$128)</f>
        <v>524308467</v>
      </c>
      <c r="AG137" s="23">
        <f t="shared" ca="1" si="105"/>
        <v>0.59088263575913857</v>
      </c>
      <c r="AH137" s="95">
        <f>SUMIF($E$6:$E$128,"410",$AH$6:$AH$128)</f>
        <v>5441855994</v>
      </c>
      <c r="AI137" s="95">
        <f>SUMIF($E$6:$E$128,"410",$AI$6:$AI$128)</f>
        <v>0</v>
      </c>
      <c r="AJ137" s="95">
        <f>SUMIF($E$6:$E$128,"410",$AJ$6:$AJ$128)</f>
        <v>363975706</v>
      </c>
      <c r="AK137" s="95">
        <f>SUMIF($E$6:$E$128,"410",$AK$6:$AK$128)</f>
        <v>0</v>
      </c>
      <c r="AL137" s="95">
        <f>SUMIF($E$6:$E$128,"410",$AL$6:$AL$128)</f>
        <v>0</v>
      </c>
      <c r="AM137" s="95">
        <f>SUMIF($E$6:$E$128,"410",$AM$6:$AM$128)</f>
        <v>0</v>
      </c>
      <c r="AN137" s="95">
        <f>SUMIF($E$6:$E$128,"410",$AN$6:$AN$128)</f>
        <v>0</v>
      </c>
      <c r="AO137" s="95">
        <f>SUMIF($E$6:$E$128,"410",$AO$6:$AO$128)</f>
        <v>0</v>
      </c>
      <c r="AP137" s="95">
        <f>SUMIF($E$6:$E$128,"410",$AP$6:$AP$128)</f>
        <v>1838633546</v>
      </c>
      <c r="AQ137" s="95">
        <f>SUMIF($E$6:$E$128,"410",$AQ$6:$AQ$128)</f>
        <v>23499931</v>
      </c>
      <c r="AR137" s="95">
        <f>SUMIF($E$6:$E$128,"410",$AR$6:$AR$128)</f>
        <v>21467891</v>
      </c>
      <c r="AS137" s="95">
        <f>SUMIF($E$6:$E$128,"410",$AS$6:$AS$128)</f>
        <v>12049526</v>
      </c>
      <c r="AT137" s="95">
        <f>SUMIF($E$6:$E$128,"410",$AT$6:$AT$128)</f>
        <v>12596000</v>
      </c>
      <c r="AU137" s="95">
        <f>SUMIF($E$6:$E$128,"410",$AU$6:$AU$128)</f>
        <v>0</v>
      </c>
      <c r="AV137" s="95">
        <f>SUMIF($E$6:$E$128,"410",$AV$6:$AV$128)</f>
        <v>0</v>
      </c>
      <c r="AW137" s="95">
        <f>SUMIF($E$6:$E$128,"410",$AW$6:$AW$128)</f>
        <v>7388999</v>
      </c>
      <c r="AX137" s="95">
        <f>SUMIF($E$6:$E$128,"410",$AX$6:$AX$128)</f>
        <v>2066607734</v>
      </c>
      <c r="AY137" s="95">
        <f>SUMIF($E$6:$E$128,"410",$AY$6:$AY$128)</f>
        <v>0</v>
      </c>
      <c r="AZ137" s="95">
        <f>SUMIF($E$6:$E$128,"410",$AZ$6:$AZ$128)</f>
        <v>352349776</v>
      </c>
      <c r="BA137" s="95">
        <f>SUMIF($E$6:$E$128,"410",$BA$6:$BA$128)</f>
        <v>45669605</v>
      </c>
      <c r="BB137" s="95">
        <f>SUMIF($E$6:$E$128,"410",$BB$6:$BB$128)</f>
        <v>0</v>
      </c>
      <c r="BC137" s="95">
        <f>SUMIF($E$6:$E$128,"410",$BC$6:$BC$128)</f>
        <v>331087169</v>
      </c>
      <c r="BD137" s="95">
        <f>SUMIF($E$6:$E$128,"410",$BD$6:$BD$128)</f>
        <v>0</v>
      </c>
      <c r="BE137" s="95">
        <f>SUMIF($E$6:$E$128,"410",$BE$6:$BE$128)</f>
        <v>366530111</v>
      </c>
      <c r="BF137" s="77">
        <f t="shared" ca="1" si="106"/>
        <v>0.40911736424086143</v>
      </c>
      <c r="BG137" s="26">
        <f t="shared" si="107"/>
        <v>3767851086</v>
      </c>
      <c r="BH137" s="96">
        <f>SUMIF($E$6:$E$128,"410",$BH$6:$BH$128)</f>
        <v>0</v>
      </c>
      <c r="BI137" s="96">
        <f>SUMIF($E$6:$E$128,"410",$BI$6:$BI$128)</f>
        <v>114014211</v>
      </c>
      <c r="BJ137" s="96">
        <f>SUMIF($E$6:$E$128,"410",$BJ$6:$BJ$128)</f>
        <v>0</v>
      </c>
      <c r="BK137" s="96">
        <f>SUMIF($E$6:$E$128,"410",$BK$6:$BK$128)</f>
        <v>0</v>
      </c>
      <c r="BL137" s="96">
        <f>SUMIF($E$6:$E$128,"410",$BL$6:$BL$128)</f>
        <v>0</v>
      </c>
      <c r="BM137" s="96">
        <f>SUMIF($E$6:$E$128,"410",$BM$6:$BM$128)</f>
        <v>0</v>
      </c>
      <c r="BN137" s="96">
        <f>SUMIF($E$6:$E$128,"410",$BN$6:$BN$128)</f>
        <v>0</v>
      </c>
      <c r="BO137" s="96">
        <f>SUMIF($E$6:$E$128,"410",$BO$6:$BO$128)</f>
        <v>1567499025</v>
      </c>
      <c r="BP137" s="96">
        <f>SUMIF($E$6:$E$128,"410",$BP$6:$BP$128)</f>
        <v>51500069</v>
      </c>
      <c r="BQ137" s="96">
        <f>SUMIF($E$6:$E$128,"410",$BQ$6:$BQ$128)</f>
        <v>158532109</v>
      </c>
      <c r="BR137" s="96">
        <f>SUMIF($E$6:$E$128,"410",$BR$6:$BR$128)</f>
        <v>17950474</v>
      </c>
      <c r="BS137" s="96">
        <f>SUMIF($E$6:$E$128,"410",$BS$6:$BS$128)</f>
        <v>45539548</v>
      </c>
      <c r="BT137" s="96">
        <f>SUMIF($E$6:$E$128,"410",$BT$6:$BT$128)</f>
        <v>0</v>
      </c>
      <c r="BU137" s="96">
        <f>SUMIF($E$6:$E$128,"410",$BU$6:$BU$128)</f>
        <v>0</v>
      </c>
      <c r="BV137" s="96">
        <f>SUMIF($E$6:$E$128,"410",$BV$6:$BV$128)</f>
        <v>97445592</v>
      </c>
      <c r="BW137" s="96">
        <f>SUMIF($E$6:$E$128,"410",$BW$6:$BW$128)</f>
        <v>793546341</v>
      </c>
      <c r="BX137" s="96">
        <f>SUMIF($E$6:$E$128,"410",$BX$6:$BX$128)</f>
        <v>0</v>
      </c>
      <c r="BY137" s="96">
        <f>SUMIF($E$6:$E$128,"410",$BY$6:$BY$128)</f>
        <v>272650224</v>
      </c>
      <c r="BZ137" s="96">
        <f>SUMIF($E$6:$E$128,"410",$BZ$6:$BZ$128)</f>
        <v>346485564</v>
      </c>
      <c r="CA137" s="96">
        <f>SUMIF($E$6:$E$128,"410",$CA$6:$CA$128)</f>
        <v>0</v>
      </c>
      <c r="CB137" s="96">
        <f>SUMIF($E$6:$E$128,"410",$CB$6:$CB$128)</f>
        <v>144909573</v>
      </c>
      <c r="CC137" s="96">
        <f>SUMIF($E$6:$E$128,"410",$CC$6:$CC$128)</f>
        <v>0</v>
      </c>
      <c r="CD137" s="97">
        <f>SUMIF($E$6:$E$128,"410",$CD$6:$CD$128)</f>
        <v>157778356</v>
      </c>
      <c r="CE137" s="23">
        <f t="shared" ca="1" si="108"/>
        <v>0.59088263575913857</v>
      </c>
      <c r="CF137" s="26">
        <f t="shared" si="109"/>
        <v>5441855994</v>
      </c>
      <c r="CG137" s="95">
        <f>SUMIF($E$6:$E$128,"410",$CG$6:$CG$128)</f>
        <v>0</v>
      </c>
      <c r="CH137" s="95">
        <f>SUMIF($E$6:$E$128,"410",$CH$6:$CH$128)</f>
        <v>363975706</v>
      </c>
      <c r="CI137" s="95">
        <f>SUMIF($E$6:$E$128,"410",$CI$6:$CI$128)</f>
        <v>0</v>
      </c>
      <c r="CJ137" s="95">
        <f>SUMIF($E$6:$E$128,"410",$CJ$6:$CJ$128)</f>
        <v>0</v>
      </c>
      <c r="CK137" s="95">
        <f>SUMIF($E$6:$E$128,"410",$CK$6:$CK$128)</f>
        <v>0</v>
      </c>
      <c r="CL137" s="95">
        <f>SUMIF($E$6:$E$128,"410",$CL$6:$CL$128)</f>
        <v>0</v>
      </c>
      <c r="CM137" s="95">
        <f>SUMIF($E$6:$E$128,"410",$CM$6:$CM$128)</f>
        <v>0</v>
      </c>
      <c r="CN137" s="95">
        <f>SUMIF($E$6:$E$128,"410",$CN$6:$CN$128)</f>
        <v>1838633546</v>
      </c>
      <c r="CO137" s="95">
        <f>SUMIF($E$6:$E$128,"410",$CO$6:$CO$128)</f>
        <v>23499931</v>
      </c>
      <c r="CP137" s="95">
        <f>SUMIF($E$6:$E$128,"410",$CP$6:$CP$128)</f>
        <v>21467891</v>
      </c>
      <c r="CQ137" s="95">
        <f>SUMIF($E$6:$E$128,"410",$CQ$6:$CQ$128)</f>
        <v>12049526</v>
      </c>
      <c r="CR137" s="95">
        <f>SUMIF($E$6:$E$128,"410",$CR$6:$CR$128)</f>
        <v>12596000</v>
      </c>
      <c r="CS137" s="95">
        <f>SUMIF($E$6:$E$128,"410",$CS$6:$CS$128)</f>
        <v>0</v>
      </c>
      <c r="CT137" s="95">
        <f>SUMIF($E$6:$E$128,"410",$CT$6:$CT$128)</f>
        <v>0</v>
      </c>
      <c r="CU137" s="95">
        <f>SUMIF($E$6:$E$128,"410",$CU$6:$CU$128)</f>
        <v>7388999</v>
      </c>
      <c r="CV137" s="95">
        <f>SUMIF($E$6:$E$128,"410",$CV$6:$CV$128)</f>
        <v>2066607734</v>
      </c>
      <c r="CW137" s="95">
        <f>SUMIF($E$6:$E$128,"410",$CW$6:$CW$128)</f>
        <v>0</v>
      </c>
      <c r="CX137" s="95">
        <f>SUMIF($E$6:$E$128,"410",$CX$6:$CX$128)</f>
        <v>352349776</v>
      </c>
      <c r="CY137" s="95">
        <f>SUMIF($E$6:$E$128,"410",$CY$6:$CY$128)</f>
        <v>45669605</v>
      </c>
      <c r="CZ137" s="95">
        <f>SUMIF($E$6:$E$128,"410",$CZ$6:$CZ$128)</f>
        <v>0</v>
      </c>
      <c r="DA137" s="95">
        <f>SUMIF($E$6:$E$128,"410",$DA$6:$DA$128)</f>
        <v>331087169</v>
      </c>
      <c r="DB137" s="95">
        <f>SUMIF($E$6:$E$128,"410",$DB$6:$DB$128)</f>
        <v>0</v>
      </c>
      <c r="DC137" s="98">
        <f>SUMIF($E$6:$E$128,"410",$DC$6:$DC$128)</f>
        <v>366530111</v>
      </c>
      <c r="DD137" s="23">
        <f t="shared" ca="1" si="110"/>
        <v>0.40911736424086143</v>
      </c>
      <c r="DE137" s="26">
        <f t="shared" si="111"/>
        <v>3767851086</v>
      </c>
      <c r="DF137" s="96">
        <f>SUMIF($E$6:$E$128,"410",$DF$6:$DF$128)</f>
        <v>0</v>
      </c>
      <c r="DG137" s="96">
        <f>SUMIF($E$6:$E$128,"410",$DG$6:$DG$128)</f>
        <v>114014211</v>
      </c>
      <c r="DH137" s="96">
        <f>SUMIF($E$6:$E$128,"410",$DH$6:$DH$128)</f>
        <v>0</v>
      </c>
      <c r="DI137" s="96">
        <f>SUMIF($E$6:$E$128,"410",$DI$6:$DI$128)</f>
        <v>0</v>
      </c>
      <c r="DJ137" s="96">
        <f>SUMIF($E$6:$E$128,"410",$DJ$6:$DJ$128)</f>
        <v>0</v>
      </c>
      <c r="DK137" s="96">
        <f>SUMIF($E$6:$E$128,"410",$DK$6:$DK$128)</f>
        <v>0</v>
      </c>
      <c r="DL137" s="96">
        <f>SUMIF($E$6:$E$128,"410",$DL$6:$DL$128)</f>
        <v>0</v>
      </c>
      <c r="DM137" s="96">
        <f>SUMIF($E$6:$E$128,"410",$DM$6:$DM$128)</f>
        <v>1567499025</v>
      </c>
      <c r="DN137" s="96">
        <f>SUMIF($E$6:$E$128,"410",$DN$6:$DN$128)</f>
        <v>51500069</v>
      </c>
      <c r="DO137" s="96">
        <f>SUMIF($E$6:$E$128,"410",$DO$6:$DO$128)</f>
        <v>158532109</v>
      </c>
      <c r="DP137" s="99">
        <f>SUMIF($E$6:$E$128,"410",$DP$6:$DP$128)</f>
        <v>17950474</v>
      </c>
      <c r="DQ137" s="99">
        <f>SUMIF($E$6:$E$128,"410",$DQ$6:$DQ$128)</f>
        <v>45539548</v>
      </c>
      <c r="DR137" s="99">
        <f>SUMIF($E$6:$E$128,"410",$DR$6:$DR$128)</f>
        <v>0</v>
      </c>
      <c r="DS137" s="99">
        <f>SUMIF($E$6:$E$128,"410",$DS$6:$DS$128)</f>
        <v>0</v>
      </c>
      <c r="DT137" s="99">
        <f>SUMIF($E$6:$E$128,"410",$DT$6:$DT$128)</f>
        <v>97445592</v>
      </c>
      <c r="DU137" s="99">
        <f>SUMIF($E$6:$E$128,"410",$DU$6:$DU$128)</f>
        <v>793546341</v>
      </c>
      <c r="DV137" s="99">
        <f>SUMIF($E$6:$E$128,"410",$DV$6:$DV$128)</f>
        <v>0</v>
      </c>
      <c r="DW137" s="99">
        <f>SUMIF($E$6:$E$128,"410",$DW$6:$DW$128)</f>
        <v>272650224</v>
      </c>
      <c r="DX137" s="99">
        <f>SUMIF($E$6:$E$128,"410",$DX$6:$DX$128)</f>
        <v>346485564</v>
      </c>
      <c r="DY137" s="99">
        <f>SUMIF($E$6:$E$128,"410",$DY$6:$DY$128)</f>
        <v>0</v>
      </c>
      <c r="DZ137" s="99">
        <f>SUMIF($E$6:$E$128,"410",$DZ$6:$DZ$128)</f>
        <v>144909573</v>
      </c>
      <c r="EA137" s="99">
        <f>SUMIF($E$6:$E$128,"410",$EA$6:$EA$128)</f>
        <v>0</v>
      </c>
      <c r="EB137" s="99">
        <f>SUMIF($E$6:$E$128,"410",$EB$6:$EB$128)</f>
        <v>157778356</v>
      </c>
      <c r="ED137" s="27">
        <f t="shared" ca="1" si="112"/>
        <v>9209707080</v>
      </c>
      <c r="EE137" s="27">
        <f t="shared" si="113"/>
        <v>9209707080</v>
      </c>
      <c r="EF137" s="27">
        <f t="shared" si="114"/>
        <v>9209707080</v>
      </c>
    </row>
    <row r="138" spans="1:136" ht="14.25" customHeight="1" x14ac:dyDescent="0.25">
      <c r="C138" s="102"/>
      <c r="D138" s="103" t="s">
        <v>376</v>
      </c>
      <c r="E138" s="84">
        <v>510</v>
      </c>
      <c r="F138" s="92"/>
      <c r="G138" s="93">
        <f ca="1">SUMIF($E$6:$G$129,"510",$G$6:$J$128)</f>
        <v>2334820216</v>
      </c>
      <c r="H138" s="94">
        <f ca="1">SUMIF($E$6:$H$129,"510",$H$6:$J$128)</f>
        <v>2219600000</v>
      </c>
      <c r="I138" s="94">
        <f ca="1">SUMIF($E$6:$I$129,"510",$I$6:$J$128)</f>
        <v>-115220216</v>
      </c>
      <c r="J138" s="93">
        <f>SUMIF($E$6:$E$128,"510",$J$6:$J$128)</f>
        <v>0</v>
      </c>
      <c r="K138" s="93">
        <f>SUMIF($E$6:$E$129,"510",$K$6:$K$129)</f>
        <v>655468218</v>
      </c>
      <c r="L138" s="93">
        <f>SUMIF($E$6:$E$129,"510",$L$6:$L$129)</f>
        <v>0</v>
      </c>
      <c r="M138" s="93">
        <f>SUMIF($E$6:$E$129,"510",$M$6:$M$129)</f>
        <v>114000000</v>
      </c>
      <c r="N138" s="95">
        <f>SUMIF($E$6:$E$128,"510",$N$6:$N$128)</f>
        <v>0</v>
      </c>
      <c r="O138" s="92">
        <f>SUMIF($E$6:$E$128,"510",$O$6:$O$128)</f>
        <v>0</v>
      </c>
      <c r="P138" s="92">
        <f>SUMIF($E$6:$E$128,"510",$P$6:$P$128)</f>
        <v>0</v>
      </c>
      <c r="Q138" s="92">
        <f>SUMIF($E$6:$E$128,"510",$Q$6:$Q$128)</f>
        <v>0</v>
      </c>
      <c r="R138" s="92">
        <f>SUMIF($E$6:$E$128,"510",$R$6:$R$128)</f>
        <v>0</v>
      </c>
      <c r="S138" s="92">
        <f>SUMIF($E$6:$E$128,"510",$S$6:$S$128)</f>
        <v>0</v>
      </c>
      <c r="T138" s="92">
        <f>SUMIF($E$6:$E$128,"510",$T$6:$T$128)</f>
        <v>0</v>
      </c>
      <c r="U138" s="92">
        <f>SUMIF($E$6:$E$128,"510",$U$6:$U$128)</f>
        <v>8336885</v>
      </c>
      <c r="V138" s="92">
        <f>SUMIF($E$6:$E$128,"510",$V$6:$V$128)</f>
        <v>0</v>
      </c>
      <c r="W138" s="92">
        <f>SUMIF($E$6:$E$128,"510",$W$6:$W$128)</f>
        <v>0</v>
      </c>
      <c r="X138" s="92">
        <f>SUMIF($E$6:$E$128,"510",$X$6:$X$128)</f>
        <v>0</v>
      </c>
      <c r="Y138" s="92">
        <f>SUMIF($E$6:$E$128,"510",$Y$6:$Y$128)</f>
        <v>0</v>
      </c>
      <c r="Z138" s="92">
        <f>SUMIF($E$6:$E$128,"510",$Z$6:$Z$128)</f>
        <v>320000000</v>
      </c>
      <c r="AA138" s="92">
        <f>SUMIF($E$6:$E$128,"510",$AA$6:$AA$128)</f>
        <v>358636130</v>
      </c>
      <c r="AB138" s="92">
        <f>SUMIF($E$6:$E$128,"510",$AB$6:$AB$128)</f>
        <v>217168075</v>
      </c>
      <c r="AC138" s="92">
        <f>SUMIF($E$6:$E$128,"510",$AC$6:$AC$128)</f>
        <v>0</v>
      </c>
      <c r="AD138" s="92"/>
      <c r="AE138" s="92">
        <f>SUMIF($E$6:$E$128,"510",$AE$6:$AE$128)</f>
        <v>422607964</v>
      </c>
      <c r="AF138" s="92">
        <f>SUMIF($E$6:$E$128,"510",$AF$6:$AF$128)</f>
        <v>238602944</v>
      </c>
      <c r="AG138" s="23">
        <f t="shared" ca="1" si="105"/>
        <v>0.651034134270148</v>
      </c>
      <c r="AH138" s="95">
        <f>SUMIF($E$6:$E$128,"510",$AH$6:$AH$128)</f>
        <v>1520047658</v>
      </c>
      <c r="AI138" s="95">
        <f>SUMIF($E$6:$E$128,"510",$AI$6:$AI$128)</f>
        <v>0</v>
      </c>
      <c r="AJ138" s="95">
        <f>SUMIF($E$6:$E$128,"510",$AJ$6:$AJ$128)</f>
        <v>579047105</v>
      </c>
      <c r="AK138" s="95">
        <f>SUMIF($E$6:$E$128,"510",$AK$6:$AK$128)</f>
        <v>0</v>
      </c>
      <c r="AL138" s="95">
        <f>SUMIF($E$6:$E$128,"510",$AL$6:$AL$128)</f>
        <v>0</v>
      </c>
      <c r="AM138" s="95">
        <f>SUMIF($E$6:$E$128,"510",$AM$6:$AM$128)</f>
        <v>0</v>
      </c>
      <c r="AN138" s="95">
        <f>SUMIF($E$6:$E$128,"510",$AN$6:$AN$128)</f>
        <v>0</v>
      </c>
      <c r="AO138" s="95">
        <f>SUMIF($E$6:$E$128,"510",$AO$6:$AO$128)</f>
        <v>0</v>
      </c>
      <c r="AP138" s="95">
        <f>SUMIF($E$6:$E$128,"510",$AP$6:$AP$128)</f>
        <v>0</v>
      </c>
      <c r="AQ138" s="95">
        <f>SUMIF($E$6:$E$128,"510",$AQ$6:$AQ$128)</f>
        <v>0</v>
      </c>
      <c r="AR138" s="95">
        <f>SUMIF($E$6:$E$128,"510",$AR$6:$AR$128)</f>
        <v>0</v>
      </c>
      <c r="AS138" s="95">
        <f>SUMIF($E$6:$E$128,"510",$AS$6:$AS$128)</f>
        <v>0</v>
      </c>
      <c r="AT138" s="95">
        <f>SUMIF($E$6:$E$128,"510",$AT$6:$AT$128)</f>
        <v>5819242</v>
      </c>
      <c r="AU138" s="95">
        <f>SUMIF($E$6:$E$128,"510",$AU$6:$AU$128)</f>
        <v>0</v>
      </c>
      <c r="AV138" s="95">
        <f>SUMIF($E$6:$E$128,"510",$AV$6:$AV$128)</f>
        <v>0</v>
      </c>
      <c r="AW138" s="95">
        <f>SUMIF($E$6:$E$128,"510",$AW$6:$AW$128)</f>
        <v>0</v>
      </c>
      <c r="AX138" s="95">
        <f>SUMIF($E$6:$E$128,"510",$AX$6:$AX$128)</f>
        <v>0</v>
      </c>
      <c r="AY138" s="95">
        <f>SUMIF($E$6:$E$128,"510",$AY$6:$AY$128)</f>
        <v>253002170</v>
      </c>
      <c r="AZ138" s="95">
        <f>SUMIF($E$6:$E$128,"510",$AZ$6:$AZ$128)</f>
        <v>306554380</v>
      </c>
      <c r="BA138" s="95">
        <f>SUMIF($E$6:$E$128,"510",$BA$6:$BA$128)</f>
        <v>194880996</v>
      </c>
      <c r="BB138" s="95">
        <f>SUMIF($E$6:$E$128,"510",$BB$6:$BB$128)</f>
        <v>0</v>
      </c>
      <c r="BC138" s="95">
        <f>SUMIF($E$6:$E$128," 510",$BC$6:$BC$128)</f>
        <v>0</v>
      </c>
      <c r="BD138" s="95">
        <f>SUMIF($E$6:$E$128,"510",$BD$6:$BD$128)</f>
        <v>0</v>
      </c>
      <c r="BE138" s="95">
        <f>SUMIF($E$6:$E$128,"510",$BE$6:$BE$128)</f>
        <v>180743765</v>
      </c>
      <c r="BF138" s="77">
        <f t="shared" ca="1" si="106"/>
        <v>0.348965865729852</v>
      </c>
      <c r="BG138" s="26">
        <f t="shared" si="107"/>
        <v>814772558</v>
      </c>
      <c r="BH138" s="96">
        <f>SUMIF($E$6:$E$128,"510",$BH$6:$BH$128)</f>
        <v>0</v>
      </c>
      <c r="BI138" s="96">
        <f>SUMIF($E$6:$E$128,"510",$BI$6:$BI$128)</f>
        <v>76421113</v>
      </c>
      <c r="BJ138" s="96">
        <f>SUMIF($E$6:$E$128,"510",$BJ$6:$BJ$128)</f>
        <v>0</v>
      </c>
      <c r="BK138" s="96">
        <f>SUMIF($E$6:$E$128,"510",$BK$6:$BK$128)</f>
        <v>114000000</v>
      </c>
      <c r="BL138" s="96">
        <f>SUMIF($E$6:$E$128,"510",$BL$6:$BL$128)</f>
        <v>0</v>
      </c>
      <c r="BM138" s="96">
        <f>SUMIF($E$6:$E$128,"510",$BM$6:$BM$128)</f>
        <v>0</v>
      </c>
      <c r="BN138" s="96">
        <f>SUMIF($E$6:$E$128,"510",$BN$6:$BN$128)</f>
        <v>0</v>
      </c>
      <c r="BO138" s="96">
        <f>SUMIF($E$6:$E$128,"510",$BO$6:$BO$128)</f>
        <v>0</v>
      </c>
      <c r="BP138" s="96">
        <f>SUMIF($E$6:$E$128,"510",$BP$6:$BP$128)</f>
        <v>0</v>
      </c>
      <c r="BQ138" s="96">
        <f>SUMIF($E$6:$E$128,"510",$BQ$6:$BQ$128)</f>
        <v>0</v>
      </c>
      <c r="BR138" s="96">
        <f>SUMIF($E$6:$E$128,"510",$BR$6:$BR$128)</f>
        <v>0</v>
      </c>
      <c r="BS138" s="96">
        <f>SUMIF($E$6:$E$128,"510",$BS$6:$BS$128)</f>
        <v>2517643</v>
      </c>
      <c r="BT138" s="96">
        <f>SUMIF($E$6:$E$128,"510",$BT$6:$BT$128)</f>
        <v>0</v>
      </c>
      <c r="BU138" s="96">
        <f>SUMIF($E$6:$E$128,"510",$BU$6:$BU$128)</f>
        <v>0</v>
      </c>
      <c r="BV138" s="96">
        <f>SUMIF($E$6:$E$128,"510",$BV$6:$BV$128)</f>
        <v>0</v>
      </c>
      <c r="BW138" s="96">
        <f>SUMIF($E$6:$E$128,"510",$BW$6:$BW$128)</f>
        <v>0</v>
      </c>
      <c r="BX138" s="96">
        <f>SUMIF($E$6:$E$128,"510",$BX$6:$BX$128)</f>
        <v>66997830</v>
      </c>
      <c r="BY138" s="96">
        <f>SUMIF($E$6:$E$128,"510",$BY$6:$BY$128)</f>
        <v>52081750</v>
      </c>
      <c r="BZ138" s="96">
        <f>SUMIF($E$6:$E$128,"510",$BZ$6:$BZ$128)</f>
        <v>22287079</v>
      </c>
      <c r="CA138" s="96">
        <f>SUMIF($E$6:$E$128,"510",$CA$6:$CA$128)</f>
        <v>0</v>
      </c>
      <c r="CB138" s="96">
        <f>SUMIF($E$6:$E$128,"510",$CB$6:$CB$128)</f>
        <v>0</v>
      </c>
      <c r="CC138" s="96">
        <f>SUMIF($E$6:$E$128,"510",$CC$6:$CC$128)</f>
        <v>422607964</v>
      </c>
      <c r="CD138" s="97">
        <f>SUMIF($E$6:$E$128,"510",$CD$6:$CD$128)</f>
        <v>57859179</v>
      </c>
      <c r="CE138" s="23">
        <f t="shared" ca="1" si="108"/>
        <v>0.651034134270148</v>
      </c>
      <c r="CF138" s="26">
        <f t="shared" si="109"/>
        <v>1520047658</v>
      </c>
      <c r="CG138" s="95">
        <f>SUMIF($E$6:$E$128,"510",$CG$6:$CG$128)</f>
        <v>0</v>
      </c>
      <c r="CH138" s="95">
        <f>SUMIF($E$6:$E$128,"510",$CH$6:$CH$128)</f>
        <v>579047105</v>
      </c>
      <c r="CI138" s="95">
        <f>SUMIF($E$6:$E$128,"510",$CI$6:$CI$128)</f>
        <v>0</v>
      </c>
      <c r="CJ138" s="95">
        <f>SUMIF($E$6:$E$128,"510",$CJ$6:$CJ$128)</f>
        <v>0</v>
      </c>
      <c r="CK138" s="95">
        <f>SUMIF($E$6:$E$128,"510",$CK$6:$CK$128)</f>
        <v>0</v>
      </c>
      <c r="CL138" s="95">
        <f>SUMIF($E$6:$E$128,"510",$CL$6:$CL$128)</f>
        <v>0</v>
      </c>
      <c r="CM138" s="95">
        <f>SUMIF($E$6:$E$128,"510",$CM$6:$CM$128)</f>
        <v>0</v>
      </c>
      <c r="CN138" s="95">
        <f>SUMIF($E$6:$E$128,"510",$CN$6:$CN$128)</f>
        <v>0</v>
      </c>
      <c r="CO138" s="95">
        <f>SUMIF($E$6:$E$128,"510",$CO$6:$CO$128)</f>
        <v>0</v>
      </c>
      <c r="CP138" s="95">
        <f>SUMIF($E$6:$E$128,"510",$CP$6:$CP$128)</f>
        <v>0</v>
      </c>
      <c r="CQ138" s="95">
        <f>SUMIF($E$6:$E$128,"510",$CQ$6:$CQ$128)</f>
        <v>0</v>
      </c>
      <c r="CR138" s="95">
        <f>SUMIF($E$6:$E$128,"510",$CR$6:$CR$128)</f>
        <v>5819242</v>
      </c>
      <c r="CS138" s="95">
        <f>SUMIF($E$6:$E$128,"510",$CS$6:$CS$128)</f>
        <v>0</v>
      </c>
      <c r="CT138" s="95">
        <f>SUMIF($E$6:$E$128,"510",$CT$6:$CT$128)</f>
        <v>0</v>
      </c>
      <c r="CU138" s="95">
        <f>SUMIF($E$6:$E$128,"510",$CU$6:$CU$128)</f>
        <v>0</v>
      </c>
      <c r="CV138" s="95">
        <f>SUMIF($E$6:$E$128,"510",$CV$6:$CV$128)</f>
        <v>0</v>
      </c>
      <c r="CW138" s="95">
        <f>SUMIF($E$6:$E$128,"510",$CW$6:$CW$128)</f>
        <v>253002170</v>
      </c>
      <c r="CX138" s="95">
        <f>SUMIF($E$6:$E$128,"510",$CX$6:$CX$128)</f>
        <v>306554380</v>
      </c>
      <c r="CY138" s="95">
        <f>SUMIF($E$6:$E$128,"510",$CY$6:$CY$128)</f>
        <v>194880996</v>
      </c>
      <c r="CZ138" s="95">
        <f>SUMIF($E$6:$E$128,"510",$CZ$6:$CZ$128)</f>
        <v>0</v>
      </c>
      <c r="DA138" s="95">
        <f>SUMIF($E$6:$E$128,"510",$DA$6:$DA$128)</f>
        <v>0</v>
      </c>
      <c r="DB138" s="95">
        <f>SUMIF($E$6:$E$128,"510",$DB$6:$DB$128)</f>
        <v>0</v>
      </c>
      <c r="DC138" s="98">
        <f>SUMIF($E$6:$E$128,"510",$DC$6:$DC$128)</f>
        <v>180743765</v>
      </c>
      <c r="DD138" s="23">
        <f t="shared" ca="1" si="110"/>
        <v>0.348965865729852</v>
      </c>
      <c r="DE138" s="26">
        <f t="shared" si="111"/>
        <v>814772558</v>
      </c>
      <c r="DF138" s="96">
        <f>SUMIF($E$6:$E$128,"510",$DF$6:$DF$128)</f>
        <v>0</v>
      </c>
      <c r="DG138" s="96">
        <f>SUMIF($E$6:$E$128,"510",$DG$6:$DG$128)</f>
        <v>76421113</v>
      </c>
      <c r="DH138" s="96">
        <f>SUMIF($E$6:$E$128,"510",$DH$6:$DH$128)</f>
        <v>0</v>
      </c>
      <c r="DI138" s="96">
        <f>SUMIF($E$6:$E$128,"510",$DI$6:$DI$128)</f>
        <v>114000000</v>
      </c>
      <c r="DJ138" s="96">
        <f>SUMIF($E$6:$E$128,"510",$DJ$6:$DJ$128)</f>
        <v>0</v>
      </c>
      <c r="DK138" s="96">
        <f>SUMIF($E$6:$E$128,"510",$DK$6:$DK$128)</f>
        <v>0</v>
      </c>
      <c r="DL138" s="96">
        <f>SUMIF($E$6:$E$128,"510",$DL$6:$DL$128)</f>
        <v>0</v>
      </c>
      <c r="DM138" s="96">
        <f>SUMIF($E$6:$E$128,"510",$DM$6:$DM$128)</f>
        <v>0</v>
      </c>
      <c r="DN138" s="96">
        <f>SUMIF($E$6:$E$128,"510",$DN$6:$DN$128)</f>
        <v>0</v>
      </c>
      <c r="DO138" s="96">
        <f>SUMIF($E$6:$E$128,"510",$DO$6:$DO$128)</f>
        <v>0</v>
      </c>
      <c r="DP138" s="99">
        <f>SUMIF($E$6:$E$128,"510",$DP$6:$DP$128)</f>
        <v>0</v>
      </c>
      <c r="DQ138" s="99">
        <f>SUMIF($E$6:$E$128,"510",$DQ$6:$DQ$128)</f>
        <v>2517643</v>
      </c>
      <c r="DR138" s="99">
        <f>SUMIF($E$6:$E$128,"510",$DR$6:$DR$128)</f>
        <v>0</v>
      </c>
      <c r="DS138" s="99">
        <f>SUMIF($E$6:$E$128,"510",$DS$6:$DS$128)</f>
        <v>0</v>
      </c>
      <c r="DT138" s="99">
        <f>SUMIF($E$6:$E$128,"510",$DT$6:$DT$128)</f>
        <v>0</v>
      </c>
      <c r="DU138" s="99">
        <f>SUMIF($E$6:$E$128,"510",$DU$6:$DU$128)</f>
        <v>0</v>
      </c>
      <c r="DV138" s="99">
        <f>SUMIF($E$6:$E$128,"510",$DV$6:$DV$128)</f>
        <v>66997830</v>
      </c>
      <c r="DW138" s="99">
        <f>SUMIF($E$6:$E$128,"510",$DW$6:$DW$128)</f>
        <v>52081750</v>
      </c>
      <c r="DX138" s="99">
        <f>SUMIF($E$6:$E$128,"510",$DX$6:$DX$128)</f>
        <v>22287079</v>
      </c>
      <c r="DY138" s="99">
        <f>SUMIF($E$6:$E$128,"510",$DY$6:$DY$128)</f>
        <v>0</v>
      </c>
      <c r="DZ138" s="99">
        <f>SUMIF($E$6:$E$128,"510",$DZ$6:$DZ$128)</f>
        <v>0</v>
      </c>
      <c r="EA138" s="99">
        <f>SUMIF($E$6:$E$128,"510",$EA$6:$EA$128)</f>
        <v>422607964</v>
      </c>
      <c r="EB138" s="99">
        <f>SUMIF($E$6:$E$128,"510",$EB$6:$EB$128)</f>
        <v>57859179</v>
      </c>
      <c r="ED138" s="27">
        <f t="shared" ca="1" si="112"/>
        <v>2334820216</v>
      </c>
      <c r="EE138" s="27">
        <f t="shared" si="113"/>
        <v>2334820216</v>
      </c>
      <c r="EF138" s="27">
        <f t="shared" si="114"/>
        <v>2334820216</v>
      </c>
    </row>
    <row r="139" spans="1:136" ht="15" x14ac:dyDescent="0.25">
      <c r="C139" s="102"/>
      <c r="D139" s="91" t="s">
        <v>377</v>
      </c>
      <c r="E139" s="84">
        <v>520</v>
      </c>
      <c r="F139" s="92"/>
      <c r="G139" s="93">
        <f ca="1">SUMIF($E$6:$G$129,"520",$G$6:$J$128)</f>
        <v>4269690683</v>
      </c>
      <c r="H139" s="94">
        <f ca="1">SUMIF($E$6:$H$129,"520",$H$6:$J$128)</f>
        <v>6393503250</v>
      </c>
      <c r="I139" s="94">
        <f ca="1">SUMIF($E$6:$I$129,"520",$I$6:$J$128)</f>
        <v>2123812567</v>
      </c>
      <c r="J139" s="93">
        <f>SUMIF($E$6:$E$128,"520",$J$6:$J$128)</f>
        <v>0</v>
      </c>
      <c r="K139" s="93">
        <f>SUMIF($E$6:$E$128,"520",$K$6:$K$128)</f>
        <v>1085174278</v>
      </c>
      <c r="L139" s="93">
        <f>SUMIF($E$6:$E$129,"520",$L$6:$L$129)</f>
        <v>0</v>
      </c>
      <c r="M139" s="93">
        <f>SUMIF($E$6:$E$129,"520",$M$6:$M$129)</f>
        <v>0</v>
      </c>
      <c r="N139" s="95">
        <f>SUMIF($E$6:$E$128,"520",$N$6:$N$128)</f>
        <v>0</v>
      </c>
      <c r="O139" s="92">
        <f>SUMIF($E$6:$E$128,"520",$O$6:$O$128)</f>
        <v>167645552</v>
      </c>
      <c r="P139" s="92">
        <f>SUMIF($E$6:$E$128,"520",$P$6:$P$128)</f>
        <v>0</v>
      </c>
      <c r="Q139" s="92">
        <f>SUMIF($E$6:$E$128,"520",$Q$6:$Q$128)</f>
        <v>0</v>
      </c>
      <c r="R139" s="92">
        <f>SUMIF($E$6:$E$128,"520",$R$6:$R$128)</f>
        <v>0</v>
      </c>
      <c r="S139" s="92">
        <f>SUMIF($E$6:$E$128,"520",$S$6:$S$128)</f>
        <v>0</v>
      </c>
      <c r="T139" s="92">
        <f>SUMIF($E$6:$E$128,"520",$T$6:$T$128)</f>
        <v>0</v>
      </c>
      <c r="U139" s="92">
        <f>SUMIF($E$6:$E$128,"520",$U$6:$U$128)</f>
        <v>0</v>
      </c>
      <c r="V139" s="92">
        <f>SUMIF($E$6:$E$128,"520",$V$6:$V$128)</f>
        <v>0</v>
      </c>
      <c r="W139" s="92">
        <f>SUMIF($E$6:$E$128,"520",$W$6:$W$128)</f>
        <v>0</v>
      </c>
      <c r="X139" s="92">
        <f>SUMIF($E$6:$E$128,"520",$X$6:$X$128)</f>
        <v>0</v>
      </c>
      <c r="Y139" s="92">
        <f>SUMIF($E$6:$E$128,"520",$Y$6:$Y$128)</f>
        <v>1374625000</v>
      </c>
      <c r="Z139" s="92">
        <f>SUMIF($E$6:$E$128,"520",$Z$6:$Z$128)</f>
        <v>0</v>
      </c>
      <c r="AA139" s="92">
        <f>SUMIF($E$6:$E$128,"520",$AA$6:$AA$128)</f>
        <v>427766866</v>
      </c>
      <c r="AB139" s="92">
        <f>SUMIF($E$6:$E$128,"520",$AB$6:$AB$128)</f>
        <v>197412271</v>
      </c>
      <c r="AC139" s="92">
        <f>SUMIF($E$6:$E$105,"520",$AC$6:$AC$105)</f>
        <v>0</v>
      </c>
      <c r="AD139" s="92"/>
      <c r="AE139" s="92">
        <f>SUMIF($E$6:$E$128,"520",$AE$6:$AE$128)</f>
        <v>0</v>
      </c>
      <c r="AF139" s="92">
        <f>SUMIF($E$6:$E$128,"520",$AF$6:$AF$128)</f>
        <v>1017066716</v>
      </c>
      <c r="AG139" s="23">
        <f t="shared" ca="1" si="105"/>
        <v>0.82320903549162328</v>
      </c>
      <c r="AH139" s="95">
        <f>SUMIF($E$6:$E$128,"520",$AH$6:$AH$128)</f>
        <v>3514847949</v>
      </c>
      <c r="AI139" s="95">
        <f>SUMIF($E$6:$E$128,"520",$AI$6:$AI$128)</f>
        <v>0</v>
      </c>
      <c r="AJ139" s="95">
        <f>SUMIF($E$6:$E$128,"520",$AJ$6:$AJ$128)</f>
        <v>922163651</v>
      </c>
      <c r="AK139" s="95">
        <f>SUMIF($E$6:$E$128,"520",$AK$6:$AK$128)</f>
        <v>0</v>
      </c>
      <c r="AL139" s="95">
        <f>SUMIF($E$6:$E$128,"520",$AL$6:$AL$128)</f>
        <v>0</v>
      </c>
      <c r="AM139" s="95">
        <f>SUMIF($E$6:$E$128,"520",$AM$6:$AM$128)</f>
        <v>0</v>
      </c>
      <c r="AN139" s="95">
        <f>SUMIF($E$6:$E$128,"520",$AN$6:$AN$128)</f>
        <v>139547293</v>
      </c>
      <c r="AO139" s="95">
        <f>SUMIF($E$6:$E$128,"520",$AO$6:$AO$128)</f>
        <v>0</v>
      </c>
      <c r="AP139" s="95">
        <f>SUMIF($E$6:$E$128,"520",$AP$6:$AP$128)</f>
        <v>0</v>
      </c>
      <c r="AQ139" s="95">
        <f>SUMIF($E$6:$E$128,"520",$AQ$6:$AQ$128)</f>
        <v>0</v>
      </c>
      <c r="AR139" s="95">
        <f>SUMIF($E$6:$E$128,"520",$AR$6:$AR$128)</f>
        <v>0</v>
      </c>
      <c r="AS139" s="95">
        <f>SUMIF($E$6:$E$128,"520",$AS$6:$AS$128)</f>
        <v>0</v>
      </c>
      <c r="AT139" s="95">
        <f>SUMIF($E$6:$E$128,"520",$AT$6:$AT$128)</f>
        <v>0</v>
      </c>
      <c r="AU139" s="95">
        <f>SUMIF($E$6:$E$128,"520",$AU$6:$AU$128)</f>
        <v>0</v>
      </c>
      <c r="AV139" s="95">
        <f>SUMIF($E$6:$E$128,"520",$AV$6:$AV$128)</f>
        <v>0</v>
      </c>
      <c r="AW139" s="95">
        <f>SUMIF($E$6:$E$128,"520",$AW$6:$AW$128)</f>
        <v>0</v>
      </c>
      <c r="AX139" s="95">
        <f>SUMIF($E$6:$E$128,"520",$AX$6:$AX$128)</f>
        <v>1185208501</v>
      </c>
      <c r="AY139" s="95">
        <f>SUMIF($E$6:$E$128,"520",$AY$6:$AY$128)</f>
        <v>0</v>
      </c>
      <c r="AZ139" s="95">
        <f>SUMIF($E$6:$E$128,"520",$AZ$6:$AZ$128)</f>
        <v>242028893</v>
      </c>
      <c r="BA139" s="95">
        <f>SUMIF($E$6:$E$128,"520",$BA$6:$BA$128)</f>
        <v>188547760</v>
      </c>
      <c r="BB139" s="95">
        <f>SUMIF($E$6:$E$128,"520",$BB$6:$BB$128)</f>
        <v>0</v>
      </c>
      <c r="BC139" s="95">
        <f>SUMIF($E$6:$E$128,"520",$BC$6:$BC$128)</f>
        <v>0</v>
      </c>
      <c r="BD139" s="95">
        <f>SUMIF($E$6:$E$128,"520",$BD$6:$BD$128)</f>
        <v>0</v>
      </c>
      <c r="BE139" s="95">
        <f>SUMIF($E$6:$E$128,"520",$BE$6:$BE$128)</f>
        <v>837351851</v>
      </c>
      <c r="BF139" s="77">
        <f t="shared" ca="1" si="106"/>
        <v>0.17679096450837672</v>
      </c>
      <c r="BG139" s="26">
        <f t="shared" si="107"/>
        <v>754842734</v>
      </c>
      <c r="BH139" s="96">
        <f>SUMIF($E$6:$E$128,"520",$BH$6:$BH$128)</f>
        <v>0</v>
      </c>
      <c r="BI139" s="96">
        <f>SUMIF($E$6:$E$128,"520",$BI$6:$BI$128)</f>
        <v>163010627</v>
      </c>
      <c r="BJ139" s="96">
        <f>SUMIF($E$6:$E$128,"520",$BJ$6:$BJ$128)</f>
        <v>0</v>
      </c>
      <c r="BK139" s="96">
        <f>SUMIF($E$6:$E$128,"520",$BK$6:$BK$128)</f>
        <v>0</v>
      </c>
      <c r="BL139" s="96">
        <f>SUMIF($E$6:$E$128,"520",$BL$6:$BL$128)</f>
        <v>0</v>
      </c>
      <c r="BM139" s="96">
        <f>SUMIF($E$6:$E$128,"520",$BM$6:$BM$128)</f>
        <v>28098259</v>
      </c>
      <c r="BN139" s="96">
        <f>SUMIF($E$6:$E$128,"520",$BN$6:$BN$128)</f>
        <v>0</v>
      </c>
      <c r="BO139" s="96">
        <f>SUMIF($E$6:$E$128,"520",$BO$6:$BO$128)</f>
        <v>0</v>
      </c>
      <c r="BP139" s="96">
        <f>SUMIF($E$6:$E$128,"520",$BP$6:$BP$128)</f>
        <v>0</v>
      </c>
      <c r="BQ139" s="96">
        <f>SUMIF($E$6:$E$128,"520",$BQ$6:$BQ$128)</f>
        <v>0</v>
      </c>
      <c r="BR139" s="96">
        <f>SUMIF($E$6:$E$128,"520",$BR$6:$BR$128)</f>
        <v>0</v>
      </c>
      <c r="BS139" s="96">
        <f>SUMIF($E$6:$E$128,"520",$BS$6:$BS$128)</f>
        <v>0</v>
      </c>
      <c r="BT139" s="96">
        <f>SUMIF($E$6:$E$128,"520",$BT$6:$BT$128)</f>
        <v>0</v>
      </c>
      <c r="BU139" s="96">
        <f>SUMIF($E$6:$E$128,"520",$BU$6:$BU$128)</f>
        <v>0</v>
      </c>
      <c r="BV139" s="96">
        <f>SUMIF($E$6:$E$128,"520",$BV$6:$BV$128)</f>
        <v>0</v>
      </c>
      <c r="BW139" s="96">
        <f>SUMIF($E$6:$E$128,"520",$BW$6:$BW$128)</f>
        <v>189416499</v>
      </c>
      <c r="BX139" s="96">
        <f>SUMIF($E$6:$E$128,"520",$BX$6:$BX$128)</f>
        <v>0</v>
      </c>
      <c r="BY139" s="96">
        <f>SUMIF($E$6:$E$128,"520",$BY$6:$BY$128)</f>
        <v>185737973</v>
      </c>
      <c r="BZ139" s="96">
        <f>SUMIF($E$6:$E$128,"520",$BZ$6:$BZ$128)</f>
        <v>8864511</v>
      </c>
      <c r="CA139" s="96">
        <f>SUMIF($E$6:$E$128,"520",$CA$6:$CA$128)</f>
        <v>0</v>
      </c>
      <c r="CB139" s="96">
        <f>SUMIF($E$6:$E$128,"520",$CB$6:$CB$128)</f>
        <v>0</v>
      </c>
      <c r="CC139" s="96">
        <f>SUMIF($E$6:$E$128,"520",$CC$6:$CC$128)</f>
        <v>0</v>
      </c>
      <c r="CD139" s="97">
        <f>SUMIF($E$6:$E$128,"520",$CD$6:$CD$128)</f>
        <v>179714865</v>
      </c>
      <c r="CE139" s="23">
        <f t="shared" ca="1" si="108"/>
        <v>0.82320903549162328</v>
      </c>
      <c r="CF139" s="26">
        <f t="shared" si="109"/>
        <v>3514847949</v>
      </c>
      <c r="CG139" s="95">
        <f>SUMIF($E$6:$E$128,"520",$CG$6:$CG$128)</f>
        <v>0</v>
      </c>
      <c r="CH139" s="95">
        <f>SUMIF($E$6:$E$128,"520",$CH$6:$CH$128)</f>
        <v>922163651</v>
      </c>
      <c r="CI139" s="95">
        <f>SUMIF($E$6:$E$128,"520",$CI$6:$CI$128)</f>
        <v>0</v>
      </c>
      <c r="CJ139" s="95">
        <f>SUMIF($E$6:$E$128,"520",$CJ$6:$CJ$128)</f>
        <v>0</v>
      </c>
      <c r="CK139" s="95">
        <f>SUMIF($E$6:$E$128,"520",$CK$6:$CK$128)</f>
        <v>0</v>
      </c>
      <c r="CL139" s="95">
        <f>SUMIF($E$6:$E$128,"520",$CL$6:$CL$128)</f>
        <v>139547293</v>
      </c>
      <c r="CM139" s="95">
        <f>SUMIF($E$6:$E$128,"520",$CM$6:$CM$128)</f>
        <v>0</v>
      </c>
      <c r="CN139" s="95">
        <f>SUMIF($E$6:$E$128,"520",$CN$6:$CN$128)</f>
        <v>0</v>
      </c>
      <c r="CO139" s="95">
        <f>SUMIF($E$6:$E$128,"520",$CO$6:$CO$128)</f>
        <v>0</v>
      </c>
      <c r="CP139" s="95">
        <f>SUMIF($E$6:$E$128,"520",$CP$6:$CP$128)</f>
        <v>0</v>
      </c>
      <c r="CQ139" s="95">
        <f>SUMIF($E$6:$E$128,"520",$CQ$6:$CQ$128)</f>
        <v>0</v>
      </c>
      <c r="CR139" s="95">
        <f>SUMIF($E$6:$E$128,"520",$CR$6:$CR$128)</f>
        <v>0</v>
      </c>
      <c r="CS139" s="95">
        <f>SUMIF($E$6:$E$128,"520",$CS$6:$CS$128)</f>
        <v>0</v>
      </c>
      <c r="CT139" s="95">
        <f>SUMIF($E$6:$E$128,"520",$CT$6:$CT$128)</f>
        <v>0</v>
      </c>
      <c r="CU139" s="95">
        <f>SUMIF($E$6:$E$128,"520",$CU$6:$CU$128)</f>
        <v>0</v>
      </c>
      <c r="CV139" s="95">
        <f>SUMIF($E$6:$E$128,"520",$CV$6:$CV$128)</f>
        <v>1185208501</v>
      </c>
      <c r="CW139" s="95">
        <f>SUMIF($E$6:$E$128,"520",$CW$6:$CW$128)</f>
        <v>0</v>
      </c>
      <c r="CX139" s="95">
        <f>SUMIF($E$6:$E$128,"520",$CX$6:$CX$128)</f>
        <v>242028893</v>
      </c>
      <c r="CY139" s="95">
        <f>SUMIF($E$6:$E$128,"520",$CY$6:$CY$128)</f>
        <v>188547760</v>
      </c>
      <c r="CZ139" s="95">
        <f>SUMIF($E$6:$E$128,"520",$CZ$6:$CZ$128)</f>
        <v>0</v>
      </c>
      <c r="DA139" s="95">
        <f>SUMIF($E$6:$E$128,"520",$DA$6:$DA$128)</f>
        <v>0</v>
      </c>
      <c r="DB139" s="95">
        <f>SUMIF($E$6:$E$128,"520",$DB$6:$DB$128)</f>
        <v>0</v>
      </c>
      <c r="DC139" s="98">
        <f>SUMIF($E$6:$E$128,"520",$DC$6:$DC$128)</f>
        <v>837351851</v>
      </c>
      <c r="DD139" s="23">
        <f t="shared" ca="1" si="110"/>
        <v>0.17679096450837672</v>
      </c>
      <c r="DE139" s="26">
        <f t="shared" si="111"/>
        <v>754842734</v>
      </c>
      <c r="DF139" s="96">
        <f>SUMIF($E$6:$E$128,"520",$DF$6:$DF$128)</f>
        <v>0</v>
      </c>
      <c r="DG139" s="96">
        <f>SUMIF($E$6:$E$128,"520",$DG$6:$DG$128)</f>
        <v>163010627</v>
      </c>
      <c r="DH139" s="96">
        <f>SUMIF($E$6:$E$128,"520",$DH$6:$DH$128)</f>
        <v>0</v>
      </c>
      <c r="DI139" s="96">
        <f>SUMIF($E$6:$E$128,"520",$DI$6:$DI$128)</f>
        <v>0</v>
      </c>
      <c r="DJ139" s="96">
        <f>SUMIF($E$6:$E$128,"520",$DJ$6:$DJ$128)</f>
        <v>0</v>
      </c>
      <c r="DK139" s="96">
        <f>SUMIF($E$6:$E$128,"520",$DK$6:$DK$128)</f>
        <v>28098259</v>
      </c>
      <c r="DL139" s="96">
        <f>SUMIF($E$6:$E$128,"520",$DL$6:$DL$128)</f>
        <v>0</v>
      </c>
      <c r="DM139" s="96">
        <f>SUMIF($E$6:$E$128,"520",$DM$6:$DM$128)</f>
        <v>0</v>
      </c>
      <c r="DN139" s="96">
        <f>SUMIF($E$6:$E$128,"520",$DN$6:$DN$128)</f>
        <v>0</v>
      </c>
      <c r="DO139" s="96">
        <f>SUMIF($E$6:$E$128,"520",$DO$6:$DO$128)</f>
        <v>0</v>
      </c>
      <c r="DP139" s="99">
        <f>SUMIF($E$6:$E$128,"520",$DP$6:$DP$128)</f>
        <v>0</v>
      </c>
      <c r="DQ139" s="99">
        <f>SUMIF($E$6:$E$128,"520",$DQ$6:$DQ$128)</f>
        <v>0</v>
      </c>
      <c r="DR139" s="99">
        <f>SUMIF($E$6:$E$128,"520",$DR$6:$DR$128)</f>
        <v>0</v>
      </c>
      <c r="DS139" s="99">
        <f>SUMIF($E$6:$E$128,"520",$DS$6:$DS$128)</f>
        <v>0</v>
      </c>
      <c r="DT139" s="99">
        <f>SUMIF($E$6:$E$128,"520",$DT$6:$DT$128)</f>
        <v>0</v>
      </c>
      <c r="DU139" s="99">
        <f>SUMIF($E$6:$E$128,"520",$DU$6:$DU$128)</f>
        <v>189416499</v>
      </c>
      <c r="DV139" s="99">
        <f>SUMIF($E$6:$E$128,"520",$DV$6:$DV$128)</f>
        <v>0</v>
      </c>
      <c r="DW139" s="99">
        <f>SUMIF($E$6:$E$128,"520",$DW$6:$DW$128)</f>
        <v>185737973</v>
      </c>
      <c r="DX139" s="99">
        <f>SUMIF($E$6:$E$128,"520",$DX$6:$DX$128)</f>
        <v>8864511</v>
      </c>
      <c r="DY139" s="99">
        <f>SUMIF($E$6:$E$128,"520",$DY$6:$DY$128)</f>
        <v>0</v>
      </c>
      <c r="DZ139" s="99">
        <f>SUMIF($E$6:$E$128,"520",$DZ$6:$DZ$128)</f>
        <v>0</v>
      </c>
      <c r="EA139" s="99">
        <f>SUMIF($E$6:$E$128,"520",$EA$6:$EA$128)</f>
        <v>0</v>
      </c>
      <c r="EB139" s="99">
        <f>SUMIF($E$6:$E$128,"520",$EB$6:$EB$128)</f>
        <v>179714865</v>
      </c>
      <c r="ED139" s="27">
        <f t="shared" ca="1" si="112"/>
        <v>4269690683</v>
      </c>
      <c r="EE139" s="27">
        <f t="shared" si="113"/>
        <v>4269690683</v>
      </c>
      <c r="EF139" s="27">
        <f t="shared" si="114"/>
        <v>4269690683</v>
      </c>
    </row>
    <row r="140" spans="1:136" ht="15.75" thickBot="1" x14ac:dyDescent="0.3">
      <c r="C140" s="162" t="s">
        <v>378</v>
      </c>
      <c r="D140" s="163"/>
      <c r="E140" s="104"/>
      <c r="F140" s="105"/>
      <c r="G140" s="106">
        <f ca="1">SUM(G133:G139)</f>
        <v>47285614871</v>
      </c>
      <c r="H140" s="107">
        <f t="shared" ref="H140:AF140" ca="1" si="115">SUM(H133:H139)</f>
        <v>37326786386</v>
      </c>
      <c r="I140" s="107">
        <f t="shared" ca="1" si="115"/>
        <v>-9958828485</v>
      </c>
      <c r="J140" s="106">
        <f t="shared" si="115"/>
        <v>2422439838</v>
      </c>
      <c r="K140" s="106">
        <f t="shared" si="115"/>
        <v>3721535284</v>
      </c>
      <c r="L140" s="106">
        <f t="shared" si="115"/>
        <v>24243035</v>
      </c>
      <c r="M140" s="106">
        <f t="shared" si="115"/>
        <v>9772000888</v>
      </c>
      <c r="N140" s="106">
        <f t="shared" si="115"/>
        <v>6856843769</v>
      </c>
      <c r="O140" s="106">
        <f t="shared" si="115"/>
        <v>167645552</v>
      </c>
      <c r="P140" s="106">
        <f t="shared" si="115"/>
        <v>212423035</v>
      </c>
      <c r="Q140" s="106">
        <f t="shared" si="115"/>
        <v>4066423197</v>
      </c>
      <c r="R140" s="106">
        <f t="shared" si="115"/>
        <v>668465994</v>
      </c>
      <c r="S140" s="106">
        <f t="shared" si="115"/>
        <v>626546789</v>
      </c>
      <c r="T140" s="106">
        <f>SUM(T133:T139)</f>
        <v>764044263</v>
      </c>
      <c r="U140" s="108">
        <f t="shared" si="115"/>
        <v>709673874</v>
      </c>
      <c r="V140" s="108">
        <f t="shared" si="115"/>
        <v>201867582</v>
      </c>
      <c r="W140" s="106">
        <f t="shared" si="115"/>
        <v>690751605</v>
      </c>
      <c r="X140" s="108">
        <f t="shared" si="115"/>
        <v>436609040</v>
      </c>
      <c r="Y140" s="106">
        <f t="shared" si="115"/>
        <v>4234779075</v>
      </c>
      <c r="Z140" s="106">
        <f t="shared" si="115"/>
        <v>1208521042</v>
      </c>
      <c r="AA140" s="106">
        <f t="shared" si="115"/>
        <v>3653080573</v>
      </c>
      <c r="AB140" s="106">
        <f t="shared" si="115"/>
        <v>896735515</v>
      </c>
      <c r="AC140" s="106">
        <f t="shared" si="115"/>
        <v>1853354458</v>
      </c>
      <c r="AD140" s="106">
        <f t="shared" si="115"/>
        <v>475996742</v>
      </c>
      <c r="AE140" s="106">
        <f t="shared" si="115"/>
        <v>547409151</v>
      </c>
      <c r="AF140" s="106">
        <f t="shared" si="115"/>
        <v>3074224570</v>
      </c>
      <c r="AG140" s="109">
        <f t="shared" ca="1" si="105"/>
        <v>0.55432923622772956</v>
      </c>
      <c r="AH140" s="110">
        <f t="shared" ref="AH140:BE140" si="116">SUM(AH133:AH139)</f>
        <v>26211798776</v>
      </c>
      <c r="AI140" s="110">
        <f t="shared" si="116"/>
        <v>787443240</v>
      </c>
      <c r="AJ140" s="110">
        <f t="shared" si="116"/>
        <v>2876852199</v>
      </c>
      <c r="AK140" s="110">
        <f t="shared" si="116"/>
        <v>2000000</v>
      </c>
      <c r="AL140" s="110">
        <f t="shared" si="116"/>
        <v>2857403482</v>
      </c>
      <c r="AM140" s="110">
        <f t="shared" si="116"/>
        <v>6855066956</v>
      </c>
      <c r="AN140" s="110">
        <f t="shared" si="116"/>
        <v>139547293</v>
      </c>
      <c r="AO140" s="110">
        <f t="shared" si="116"/>
        <v>202400000</v>
      </c>
      <c r="AP140" s="110">
        <f t="shared" si="116"/>
        <v>2383924172</v>
      </c>
      <c r="AQ140" s="110">
        <f t="shared" si="116"/>
        <v>23499931</v>
      </c>
      <c r="AR140" s="110">
        <f t="shared" si="116"/>
        <v>21467891</v>
      </c>
      <c r="AS140" s="110">
        <f t="shared" si="116"/>
        <v>12049526</v>
      </c>
      <c r="AT140" s="110">
        <f t="shared" si="116"/>
        <v>361570049</v>
      </c>
      <c r="AU140" s="110">
        <f t="shared" si="116"/>
        <v>0</v>
      </c>
      <c r="AV140" s="110">
        <f t="shared" si="116"/>
        <v>42007000</v>
      </c>
      <c r="AW140" s="110">
        <f t="shared" si="116"/>
        <v>7388999</v>
      </c>
      <c r="AX140" s="110">
        <f t="shared" si="116"/>
        <v>3251816235</v>
      </c>
      <c r="AY140" s="110">
        <f t="shared" si="116"/>
        <v>779197894</v>
      </c>
      <c r="AZ140" s="110">
        <f t="shared" si="116"/>
        <v>1800786890</v>
      </c>
      <c r="BA140" s="110">
        <f t="shared" si="116"/>
        <v>511960294</v>
      </c>
      <c r="BB140" s="110">
        <f t="shared" si="116"/>
        <v>871169517</v>
      </c>
      <c r="BC140" s="110">
        <f t="shared" si="116"/>
        <v>331087169</v>
      </c>
      <c r="BD140" s="110">
        <f t="shared" si="116"/>
        <v>44817066</v>
      </c>
      <c r="BE140" s="110">
        <f t="shared" si="116"/>
        <v>2048342973</v>
      </c>
      <c r="BF140" s="111">
        <f t="shared" ca="1" si="106"/>
        <v>0.44567076377227044</v>
      </c>
      <c r="BG140" s="110">
        <f t="shared" ref="BG140:CD140" si="117">SUM(BG133:BG139)</f>
        <v>21073816095</v>
      </c>
      <c r="BH140" s="110">
        <f t="shared" si="117"/>
        <v>1634996598</v>
      </c>
      <c r="BI140" s="110">
        <f t="shared" si="117"/>
        <v>844683085</v>
      </c>
      <c r="BJ140" s="110">
        <f t="shared" si="117"/>
        <v>22243035</v>
      </c>
      <c r="BK140" s="110">
        <f t="shared" si="117"/>
        <v>6914597406</v>
      </c>
      <c r="BL140" s="110">
        <f t="shared" si="117"/>
        <v>1776813</v>
      </c>
      <c r="BM140" s="110">
        <f t="shared" si="117"/>
        <v>28098259</v>
      </c>
      <c r="BN140" s="110">
        <f t="shared" si="117"/>
        <v>10023035</v>
      </c>
      <c r="BO140" s="110">
        <f t="shared" si="117"/>
        <v>1682499025</v>
      </c>
      <c r="BP140" s="110">
        <f t="shared" si="117"/>
        <v>644966063</v>
      </c>
      <c r="BQ140" s="110">
        <f t="shared" si="117"/>
        <v>605078898</v>
      </c>
      <c r="BR140" s="110">
        <f t="shared" si="117"/>
        <v>751994737</v>
      </c>
      <c r="BS140" s="110">
        <f t="shared" si="117"/>
        <v>348103825</v>
      </c>
      <c r="BT140" s="110">
        <f t="shared" si="117"/>
        <v>201867582</v>
      </c>
      <c r="BU140" s="110">
        <f t="shared" si="117"/>
        <v>648744605</v>
      </c>
      <c r="BV140" s="110">
        <f t="shared" si="117"/>
        <v>429220041</v>
      </c>
      <c r="BW140" s="110">
        <f t="shared" si="117"/>
        <v>982962840</v>
      </c>
      <c r="BX140" s="110">
        <f t="shared" si="117"/>
        <v>429323148</v>
      </c>
      <c r="BY140" s="110">
        <f t="shared" si="117"/>
        <v>1852293683</v>
      </c>
      <c r="BZ140" s="110">
        <f t="shared" si="117"/>
        <v>384775221</v>
      </c>
      <c r="CA140" s="110">
        <f t="shared" si="117"/>
        <v>982184941</v>
      </c>
      <c r="CB140" s="110">
        <f t="shared" si="117"/>
        <v>144909573</v>
      </c>
      <c r="CC140" s="110">
        <f t="shared" si="117"/>
        <v>502592085</v>
      </c>
      <c r="CD140" s="110">
        <f t="shared" si="117"/>
        <v>1025881597</v>
      </c>
      <c r="CE140" s="23">
        <f t="shared" ca="1" si="108"/>
        <v>0.55432923622772956</v>
      </c>
      <c r="CF140" s="112">
        <f t="shared" ref="CF140:DC140" si="118">SUM(CF133:CF139)</f>
        <v>26211798776</v>
      </c>
      <c r="CG140" s="112">
        <f t="shared" si="118"/>
        <v>787443240</v>
      </c>
      <c r="CH140" s="112">
        <f t="shared" si="118"/>
        <v>2876852199</v>
      </c>
      <c r="CI140" s="112">
        <f t="shared" si="118"/>
        <v>2000000</v>
      </c>
      <c r="CJ140" s="112">
        <f t="shared" si="118"/>
        <v>2857403482</v>
      </c>
      <c r="CK140" s="112">
        <f t="shared" si="118"/>
        <v>6855066956</v>
      </c>
      <c r="CL140" s="112">
        <f t="shared" si="118"/>
        <v>139547293</v>
      </c>
      <c r="CM140" s="112">
        <f t="shared" si="118"/>
        <v>202400000</v>
      </c>
      <c r="CN140" s="112">
        <f t="shared" si="118"/>
        <v>2383924172</v>
      </c>
      <c r="CO140" s="112">
        <f t="shared" si="118"/>
        <v>23499931</v>
      </c>
      <c r="CP140" s="112">
        <f t="shared" si="118"/>
        <v>21467891</v>
      </c>
      <c r="CQ140" s="112">
        <f t="shared" si="118"/>
        <v>12049526</v>
      </c>
      <c r="CR140" s="112">
        <f t="shared" si="118"/>
        <v>361570049</v>
      </c>
      <c r="CS140" s="112">
        <f t="shared" si="118"/>
        <v>0</v>
      </c>
      <c r="CT140" s="112">
        <f t="shared" si="118"/>
        <v>42007000</v>
      </c>
      <c r="CU140" s="112">
        <f t="shared" si="118"/>
        <v>7388999</v>
      </c>
      <c r="CV140" s="112">
        <f t="shared" si="118"/>
        <v>3251816235</v>
      </c>
      <c r="CW140" s="112">
        <f t="shared" si="118"/>
        <v>779197894</v>
      </c>
      <c r="CX140" s="112">
        <f t="shared" si="118"/>
        <v>1800786890</v>
      </c>
      <c r="CY140" s="112">
        <f t="shared" si="118"/>
        <v>511960294</v>
      </c>
      <c r="CZ140" s="112">
        <f t="shared" si="118"/>
        <v>871169517</v>
      </c>
      <c r="DA140" s="112">
        <f t="shared" si="118"/>
        <v>331087169</v>
      </c>
      <c r="DB140" s="112">
        <f t="shared" si="118"/>
        <v>44817066</v>
      </c>
      <c r="DC140" s="112">
        <f t="shared" si="118"/>
        <v>2048342973</v>
      </c>
      <c r="DD140" s="109">
        <f t="shared" ca="1" si="110"/>
        <v>0.44567076377227044</v>
      </c>
      <c r="DE140" s="106">
        <f t="shared" ref="DE140:EB140" ca="1" si="119">SUM(DE133:DE139)</f>
        <v>21073816095</v>
      </c>
      <c r="DF140" s="106">
        <f t="shared" ca="1" si="119"/>
        <v>1634996598</v>
      </c>
      <c r="DG140" s="106">
        <f t="shared" si="119"/>
        <v>844683085</v>
      </c>
      <c r="DH140" s="106">
        <f t="shared" si="119"/>
        <v>22243035</v>
      </c>
      <c r="DI140" s="106">
        <f t="shared" si="119"/>
        <v>6914597406</v>
      </c>
      <c r="DJ140" s="106">
        <f t="shared" si="119"/>
        <v>1776813</v>
      </c>
      <c r="DK140" s="106">
        <f t="shared" si="119"/>
        <v>28098259</v>
      </c>
      <c r="DL140" s="106">
        <f t="shared" si="119"/>
        <v>10023035</v>
      </c>
      <c r="DM140" s="106">
        <f t="shared" si="119"/>
        <v>1682499025</v>
      </c>
      <c r="DN140" s="106">
        <f t="shared" si="119"/>
        <v>644966063</v>
      </c>
      <c r="DO140" s="106">
        <f t="shared" si="119"/>
        <v>605078898</v>
      </c>
      <c r="DP140" s="106">
        <f t="shared" si="119"/>
        <v>751994737</v>
      </c>
      <c r="DQ140" s="106">
        <f t="shared" si="119"/>
        <v>348103825</v>
      </c>
      <c r="DR140" s="106">
        <f t="shared" si="119"/>
        <v>201867582</v>
      </c>
      <c r="DS140" s="106">
        <f t="shared" si="119"/>
        <v>648744605</v>
      </c>
      <c r="DT140" s="106">
        <f t="shared" si="119"/>
        <v>429220041</v>
      </c>
      <c r="DU140" s="106">
        <f t="shared" si="119"/>
        <v>982962840</v>
      </c>
      <c r="DV140" s="106">
        <f t="shared" si="119"/>
        <v>429323148</v>
      </c>
      <c r="DW140" s="106">
        <f t="shared" si="119"/>
        <v>1852293683</v>
      </c>
      <c r="DX140" s="106">
        <f t="shared" si="119"/>
        <v>384775221</v>
      </c>
      <c r="DY140" s="106">
        <f t="shared" si="119"/>
        <v>982184941</v>
      </c>
      <c r="DZ140" s="106">
        <f t="shared" si="119"/>
        <v>144909573</v>
      </c>
      <c r="EA140" s="106">
        <f t="shared" si="119"/>
        <v>502592085</v>
      </c>
      <c r="EB140" s="106">
        <f t="shared" si="119"/>
        <v>1025881597</v>
      </c>
      <c r="ED140" s="27">
        <f t="shared" ca="1" si="112"/>
        <v>47285614871</v>
      </c>
      <c r="EE140" s="27">
        <f t="shared" si="113"/>
        <v>47285614871</v>
      </c>
      <c r="EF140" s="27">
        <f t="shared" ca="1" si="114"/>
        <v>47285614871</v>
      </c>
    </row>
    <row r="141" spans="1:136" ht="15.75" thickTop="1" x14ac:dyDescent="0.25">
      <c r="G141" s="46">
        <f ca="1">G131-G140</f>
        <v>0</v>
      </c>
      <c r="H141" s="46">
        <f t="shared" ref="H141:V141" ca="1" si="120">H131-H140</f>
        <v>0</v>
      </c>
      <c r="I141" s="46">
        <f t="shared" ca="1" si="120"/>
        <v>0</v>
      </c>
      <c r="J141" s="46">
        <f t="shared" si="120"/>
        <v>0</v>
      </c>
      <c r="K141" s="46">
        <f t="shared" si="120"/>
        <v>0</v>
      </c>
      <c r="L141" s="46">
        <f t="shared" si="120"/>
        <v>0</v>
      </c>
      <c r="M141" s="46">
        <f t="shared" si="120"/>
        <v>0</v>
      </c>
      <c r="N141" s="46">
        <f t="shared" si="120"/>
        <v>0</v>
      </c>
      <c r="O141" s="46">
        <f t="shared" si="120"/>
        <v>0</v>
      </c>
      <c r="P141" s="46">
        <f t="shared" si="120"/>
        <v>0</v>
      </c>
      <c r="Q141" s="46">
        <f t="shared" si="120"/>
        <v>0</v>
      </c>
      <c r="R141" s="46">
        <f t="shared" si="120"/>
        <v>0</v>
      </c>
      <c r="S141" s="46">
        <f t="shared" si="120"/>
        <v>0</v>
      </c>
      <c r="T141" s="46">
        <f t="shared" si="120"/>
        <v>0</v>
      </c>
      <c r="U141" s="46">
        <f t="shared" si="120"/>
        <v>0</v>
      </c>
      <c r="V141" s="46">
        <f t="shared" si="120"/>
        <v>0</v>
      </c>
      <c r="W141" s="46">
        <f>W131-W140</f>
        <v>0</v>
      </c>
      <c r="X141" s="46">
        <f t="shared" ref="X141:AF141" si="121">X131-X140</f>
        <v>0</v>
      </c>
      <c r="Y141" s="46">
        <f t="shared" si="121"/>
        <v>0</v>
      </c>
      <c r="Z141" s="46">
        <f t="shared" si="121"/>
        <v>0</v>
      </c>
      <c r="AA141" s="46">
        <f t="shared" si="121"/>
        <v>0</v>
      </c>
      <c r="AB141" s="46">
        <f t="shared" si="121"/>
        <v>0</v>
      </c>
      <c r="AC141" s="46">
        <f t="shared" si="121"/>
        <v>0</v>
      </c>
      <c r="AD141" s="46">
        <f t="shared" si="121"/>
        <v>0</v>
      </c>
      <c r="AE141" s="46">
        <f t="shared" si="121"/>
        <v>0</v>
      </c>
      <c r="AF141" s="46">
        <f t="shared" si="121"/>
        <v>0</v>
      </c>
      <c r="AH141" s="46">
        <f>+AH131-AH140</f>
        <v>0</v>
      </c>
      <c r="AI141" s="46">
        <f>+AI131-AI140</f>
        <v>0</v>
      </c>
      <c r="AJ141" s="46">
        <f>+AJ131-AJ140</f>
        <v>0</v>
      </c>
      <c r="AK141" s="46">
        <f>+AK131-AK140</f>
        <v>0</v>
      </c>
      <c r="AL141" s="46">
        <f>+AL131-AL140</f>
        <v>0</v>
      </c>
      <c r="AM141" s="46">
        <f t="shared" ref="AM141:BE141" si="122">+AM131-AM140</f>
        <v>0</v>
      </c>
      <c r="AN141" s="46">
        <f t="shared" si="122"/>
        <v>0</v>
      </c>
      <c r="AO141" s="46">
        <f t="shared" si="122"/>
        <v>0</v>
      </c>
      <c r="AP141" s="46">
        <f t="shared" si="122"/>
        <v>0</v>
      </c>
      <c r="AQ141" s="46">
        <f t="shared" si="122"/>
        <v>0</v>
      </c>
      <c r="AR141" s="46">
        <f t="shared" si="122"/>
        <v>0</v>
      </c>
      <c r="AS141" s="46">
        <f t="shared" si="122"/>
        <v>0</v>
      </c>
      <c r="AT141" s="46">
        <f t="shared" si="122"/>
        <v>0</v>
      </c>
      <c r="AU141" s="46">
        <f t="shared" si="122"/>
        <v>0</v>
      </c>
      <c r="AV141" s="46">
        <f t="shared" si="122"/>
        <v>0</v>
      </c>
      <c r="AW141" s="46">
        <f t="shared" si="122"/>
        <v>0</v>
      </c>
      <c r="AX141" s="46">
        <f t="shared" si="122"/>
        <v>0</v>
      </c>
      <c r="AY141" s="46">
        <f t="shared" si="122"/>
        <v>0</v>
      </c>
      <c r="AZ141" s="46">
        <f t="shared" si="122"/>
        <v>0</v>
      </c>
      <c r="BA141" s="46">
        <f t="shared" si="122"/>
        <v>0</v>
      </c>
      <c r="BB141" s="46">
        <f t="shared" si="122"/>
        <v>0</v>
      </c>
      <c r="BC141" s="46">
        <f t="shared" si="122"/>
        <v>0</v>
      </c>
      <c r="BD141" s="46">
        <f t="shared" si="122"/>
        <v>0</v>
      </c>
      <c r="BE141" s="46">
        <f t="shared" si="122"/>
        <v>0</v>
      </c>
      <c r="BG141" s="46">
        <f t="shared" ref="BG141:DR141" si="123">+BG131-BG140</f>
        <v>0</v>
      </c>
      <c r="BH141" s="46">
        <f t="shared" si="123"/>
        <v>0</v>
      </c>
      <c r="BI141" s="46">
        <f t="shared" si="123"/>
        <v>0</v>
      </c>
      <c r="BJ141" s="46">
        <f t="shared" si="123"/>
        <v>0</v>
      </c>
      <c r="BK141" s="46">
        <f t="shared" si="123"/>
        <v>0</v>
      </c>
      <c r="BL141" s="46">
        <f t="shared" si="123"/>
        <v>0</v>
      </c>
      <c r="BM141" s="46">
        <f t="shared" si="123"/>
        <v>0</v>
      </c>
      <c r="BN141" s="46">
        <f t="shared" si="123"/>
        <v>0</v>
      </c>
      <c r="BO141" s="46">
        <f t="shared" si="123"/>
        <v>0</v>
      </c>
      <c r="BP141" s="46">
        <f t="shared" si="123"/>
        <v>0</v>
      </c>
      <c r="BQ141" s="46">
        <f t="shared" si="123"/>
        <v>0</v>
      </c>
      <c r="BR141" s="46">
        <f t="shared" si="123"/>
        <v>0</v>
      </c>
      <c r="BS141" s="46">
        <f t="shared" si="123"/>
        <v>0</v>
      </c>
      <c r="BT141" s="46">
        <f t="shared" si="123"/>
        <v>0</v>
      </c>
      <c r="BU141" s="46">
        <f t="shared" si="123"/>
        <v>0</v>
      </c>
      <c r="BV141" s="46">
        <f t="shared" si="123"/>
        <v>0</v>
      </c>
      <c r="BW141" s="46">
        <f t="shared" si="123"/>
        <v>0</v>
      </c>
      <c r="BX141" s="46">
        <f t="shared" si="123"/>
        <v>0</v>
      </c>
      <c r="BY141" s="46">
        <f t="shared" si="123"/>
        <v>0</v>
      </c>
      <c r="BZ141" s="46">
        <f t="shared" si="123"/>
        <v>0</v>
      </c>
      <c r="CA141" s="46">
        <f t="shared" si="123"/>
        <v>0</v>
      </c>
      <c r="CB141" s="46">
        <f t="shared" si="123"/>
        <v>0</v>
      </c>
      <c r="CC141" s="46">
        <f t="shared" si="123"/>
        <v>0</v>
      </c>
      <c r="CD141" s="46">
        <f t="shared" si="123"/>
        <v>0</v>
      </c>
      <c r="CE141" s="46">
        <f t="shared" ca="1" si="123"/>
        <v>0</v>
      </c>
      <c r="CF141" s="46">
        <f t="shared" si="123"/>
        <v>0</v>
      </c>
      <c r="CG141" s="46">
        <f t="shared" si="123"/>
        <v>0</v>
      </c>
      <c r="CH141" s="46">
        <f t="shared" si="123"/>
        <v>0</v>
      </c>
      <c r="CI141" s="46">
        <f t="shared" si="123"/>
        <v>0</v>
      </c>
      <c r="CJ141" s="46">
        <f t="shared" si="123"/>
        <v>0</v>
      </c>
      <c r="CK141" s="46">
        <f t="shared" si="123"/>
        <v>0</v>
      </c>
      <c r="CL141" s="46">
        <f t="shared" si="123"/>
        <v>0</v>
      </c>
      <c r="CM141" s="46">
        <f t="shared" si="123"/>
        <v>0</v>
      </c>
      <c r="CN141" s="46">
        <f t="shared" si="123"/>
        <v>0</v>
      </c>
      <c r="CO141" s="46">
        <f t="shared" si="123"/>
        <v>0</v>
      </c>
      <c r="CP141" s="46">
        <f t="shared" si="123"/>
        <v>0</v>
      </c>
      <c r="CQ141" s="46">
        <f t="shared" si="123"/>
        <v>0</v>
      </c>
      <c r="CR141" s="46">
        <f t="shared" si="123"/>
        <v>0</v>
      </c>
      <c r="CS141" s="46">
        <f t="shared" si="123"/>
        <v>0</v>
      </c>
      <c r="CT141" s="46">
        <f t="shared" si="123"/>
        <v>0</v>
      </c>
      <c r="CU141" s="46">
        <f t="shared" si="123"/>
        <v>0</v>
      </c>
      <c r="CV141" s="46">
        <f t="shared" si="123"/>
        <v>0</v>
      </c>
      <c r="CW141" s="46">
        <f t="shared" si="123"/>
        <v>0</v>
      </c>
      <c r="CX141" s="46">
        <f t="shared" si="123"/>
        <v>0</v>
      </c>
      <c r="CY141" s="46">
        <f t="shared" si="123"/>
        <v>0</v>
      </c>
      <c r="CZ141" s="46">
        <f t="shared" si="123"/>
        <v>0</v>
      </c>
      <c r="DA141" s="46">
        <f t="shared" si="123"/>
        <v>0</v>
      </c>
      <c r="DB141" s="46">
        <f t="shared" si="123"/>
        <v>0</v>
      </c>
      <c r="DC141" s="46">
        <f t="shared" si="123"/>
        <v>0</v>
      </c>
      <c r="DD141" s="46">
        <f t="shared" ca="1" si="123"/>
        <v>0</v>
      </c>
      <c r="DE141" s="46">
        <f t="shared" ca="1" si="123"/>
        <v>0</v>
      </c>
      <c r="DF141" s="46">
        <f t="shared" ca="1" si="123"/>
        <v>0</v>
      </c>
      <c r="DG141" s="46">
        <f t="shared" si="123"/>
        <v>0</v>
      </c>
      <c r="DH141" s="46">
        <f t="shared" si="123"/>
        <v>0</v>
      </c>
      <c r="DI141" s="46">
        <f t="shared" si="123"/>
        <v>0</v>
      </c>
      <c r="DJ141" s="46">
        <f t="shared" si="123"/>
        <v>0</v>
      </c>
      <c r="DK141" s="46">
        <f t="shared" si="123"/>
        <v>0</v>
      </c>
      <c r="DL141" s="46">
        <f t="shared" si="123"/>
        <v>0</v>
      </c>
      <c r="DM141" s="46">
        <f t="shared" si="123"/>
        <v>0</v>
      </c>
      <c r="DN141" s="46">
        <f t="shared" si="123"/>
        <v>0</v>
      </c>
      <c r="DO141" s="46">
        <f t="shared" si="123"/>
        <v>0</v>
      </c>
      <c r="DP141" s="46">
        <f t="shared" si="123"/>
        <v>0</v>
      </c>
      <c r="DQ141" s="46">
        <f t="shared" si="123"/>
        <v>0</v>
      </c>
      <c r="DR141" s="46">
        <f t="shared" si="123"/>
        <v>0</v>
      </c>
      <c r="DS141" s="46">
        <f t="shared" ref="DS141:EF141" si="124">+DS131-DS140</f>
        <v>0</v>
      </c>
      <c r="DT141" s="46">
        <f t="shared" si="124"/>
        <v>0</v>
      </c>
      <c r="DU141" s="46">
        <f t="shared" si="124"/>
        <v>0</v>
      </c>
      <c r="DV141" s="46">
        <f t="shared" si="124"/>
        <v>0</v>
      </c>
      <c r="DW141" s="46">
        <f t="shared" si="124"/>
        <v>0</v>
      </c>
      <c r="DX141" s="46">
        <f t="shared" si="124"/>
        <v>0</v>
      </c>
      <c r="DY141" s="46">
        <f t="shared" si="124"/>
        <v>0</v>
      </c>
      <c r="DZ141" s="46">
        <f t="shared" si="124"/>
        <v>0</v>
      </c>
      <c r="EA141" s="46">
        <f t="shared" si="124"/>
        <v>0</v>
      </c>
      <c r="EB141" s="46">
        <f t="shared" si="124"/>
        <v>0</v>
      </c>
      <c r="EC141" s="46">
        <f t="shared" si="124"/>
        <v>0</v>
      </c>
      <c r="ED141" s="46">
        <f t="shared" ca="1" si="124"/>
        <v>0</v>
      </c>
      <c r="EE141" s="46">
        <f t="shared" si="124"/>
        <v>0</v>
      </c>
      <c r="EF141" s="46">
        <f t="shared" ca="1" si="124"/>
        <v>0</v>
      </c>
    </row>
    <row r="142" spans="1:136" ht="18.75" customHeight="1" x14ac:dyDescent="0.25">
      <c r="D142" s="113"/>
      <c r="E142" s="114"/>
      <c r="K142" s="46"/>
      <c r="AB142" s="46"/>
      <c r="AC142" s="46"/>
      <c r="AF142" s="46"/>
    </row>
    <row r="147" spans="12:12" x14ac:dyDescent="0.3">
      <c r="L147" s="1"/>
    </row>
    <row r="148" spans="12:12" x14ac:dyDescent="0.3">
      <c r="L148" s="1"/>
    </row>
  </sheetData>
  <mergeCells count="61">
    <mergeCell ref="C1:AF1"/>
    <mergeCell ref="C2:AF2"/>
    <mergeCell ref="C3:AF3"/>
    <mergeCell ref="AH3:BE3"/>
    <mergeCell ref="BH3:CE3"/>
    <mergeCell ref="A6:A7"/>
    <mergeCell ref="B6:B7"/>
    <mergeCell ref="DE3:EB3"/>
    <mergeCell ref="A4:A5"/>
    <mergeCell ref="B4:B5"/>
    <mergeCell ref="C4:C5"/>
    <mergeCell ref="D4:D5"/>
    <mergeCell ref="E4:E5"/>
    <mergeCell ref="F4:F5"/>
    <mergeCell ref="G4:AF4"/>
    <mergeCell ref="AH4:BE4"/>
    <mergeCell ref="BH4:BS4"/>
    <mergeCell ref="CF3:DC3"/>
    <mergeCell ref="BT4:CD4"/>
    <mergeCell ref="CG4:CS4"/>
    <mergeCell ref="CV4:DC4"/>
    <mergeCell ref="DE4:DQ4"/>
    <mergeCell ref="DR4:EB4"/>
    <mergeCell ref="B50:E50"/>
    <mergeCell ref="B8:B11"/>
    <mergeCell ref="B12:B16"/>
    <mergeCell ref="B17:B19"/>
    <mergeCell ref="B21:B23"/>
    <mergeCell ref="B24:E24"/>
    <mergeCell ref="B25:B26"/>
    <mergeCell ref="B27:B33"/>
    <mergeCell ref="A34:A46"/>
    <mergeCell ref="B34:B43"/>
    <mergeCell ref="B44:B45"/>
    <mergeCell ref="B47:B49"/>
    <mergeCell ref="A51:A67"/>
    <mergeCell ref="B51:B54"/>
    <mergeCell ref="B55:B62"/>
    <mergeCell ref="B63:B67"/>
    <mergeCell ref="A68:A76"/>
    <mergeCell ref="B68:B71"/>
    <mergeCell ref="B72:B75"/>
    <mergeCell ref="B77:F77"/>
    <mergeCell ref="A78:A96"/>
    <mergeCell ref="B78:B84"/>
    <mergeCell ref="B85:B87"/>
    <mergeCell ref="B88:B89"/>
    <mergeCell ref="B90:B92"/>
    <mergeCell ref="B93:B96"/>
    <mergeCell ref="B129:D129"/>
    <mergeCell ref="C131:E131"/>
    <mergeCell ref="C140:D140"/>
    <mergeCell ref="B97:F97"/>
    <mergeCell ref="A98:A105"/>
    <mergeCell ref="B98:B102"/>
    <mergeCell ref="B103:B112"/>
    <mergeCell ref="A108:A128"/>
    <mergeCell ref="B113:B114"/>
    <mergeCell ref="B115:B119"/>
    <mergeCell ref="B120:B126"/>
    <mergeCell ref="B127:B128"/>
  </mergeCells>
  <conditionalFormatting sqref="C75:D76">
    <cfRule type="duplicateValues" dxfId="1" priority="1"/>
  </conditionalFormatting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27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</sheetPr>
  <dimension ref="A1:EG219"/>
  <sheetViews>
    <sheetView showGridLines="0" tabSelected="1" topLeftCell="B1" zoomScaleNormal="100" zoomScaleSheetLayoutView="100" zoomScalePageLayoutView="50" workbookViewId="0">
      <pane xSplit="5" ySplit="6" topLeftCell="G202" activePane="bottomRight" state="frozen"/>
      <selection activeCell="C4" sqref="C4"/>
      <selection pane="topRight" activeCell="G4" sqref="G4"/>
      <selection pane="bottomLeft" activeCell="C6" sqref="C6"/>
      <selection pane="bottomRight" activeCell="CF221" sqref="CF221"/>
    </sheetView>
  </sheetViews>
  <sheetFormatPr baseColWidth="10" defaultRowHeight="14.4" x14ac:dyDescent="0.3"/>
  <cols>
    <col min="1" max="1" width="8.33203125" hidden="1" customWidth="1"/>
    <col min="2" max="2" width="21.88671875" hidden="1" customWidth="1"/>
    <col min="3" max="3" width="9" customWidth="1"/>
    <col min="4" max="4" width="50.33203125" customWidth="1"/>
    <col min="5" max="5" width="16" hidden="1" customWidth="1"/>
    <col min="6" max="6" width="1.109375" hidden="1" customWidth="1"/>
    <col min="7" max="7" width="16.6640625" customWidth="1"/>
    <col min="8" max="8" width="16" hidden="1" customWidth="1"/>
    <col min="9" max="9" width="13.6640625" hidden="1" customWidth="1"/>
    <col min="10" max="10" width="13.109375" hidden="1" customWidth="1"/>
    <col min="11" max="11" width="12.5546875" hidden="1" customWidth="1"/>
    <col min="12" max="12" width="10.33203125" hidden="1" customWidth="1"/>
    <col min="13" max="13" width="12.6640625" hidden="1" customWidth="1"/>
    <col min="14" max="14" width="13.44140625" hidden="1" customWidth="1"/>
    <col min="15" max="15" width="12.5546875" hidden="1" customWidth="1"/>
    <col min="16" max="16" width="10.88671875" hidden="1" customWidth="1"/>
    <col min="17" max="17" width="12.88671875" hidden="1" customWidth="1"/>
    <col min="18" max="18" width="11" hidden="1" customWidth="1"/>
    <col min="19" max="19" width="12.33203125" hidden="1" customWidth="1"/>
    <col min="20" max="20" width="11.88671875" hidden="1" customWidth="1"/>
    <col min="21" max="21" width="12" hidden="1" customWidth="1"/>
    <col min="22" max="23" width="11.109375" hidden="1" customWidth="1"/>
    <col min="24" max="24" width="11.6640625" hidden="1" customWidth="1"/>
    <col min="25" max="25" width="13" hidden="1" customWidth="1"/>
    <col min="26" max="26" width="13.109375" hidden="1" customWidth="1"/>
    <col min="27" max="27" width="14.33203125" hidden="1" customWidth="1"/>
    <col min="28" max="28" width="11.33203125" hidden="1" customWidth="1"/>
    <col min="29" max="29" width="12.6640625" hidden="1" customWidth="1"/>
    <col min="30" max="30" width="12" hidden="1" customWidth="1"/>
    <col min="31" max="31" width="12.44140625" hidden="1" customWidth="1"/>
    <col min="32" max="32" width="12.6640625" hidden="1" customWidth="1"/>
    <col min="33" max="33" width="9.109375" hidden="1" customWidth="1"/>
    <col min="34" max="34" width="14.33203125" hidden="1" customWidth="1"/>
    <col min="35" max="35" width="13.5546875" hidden="1" customWidth="1"/>
    <col min="36" max="37" width="14" hidden="1" customWidth="1"/>
    <col min="38" max="38" width="13" hidden="1" customWidth="1"/>
    <col min="39" max="39" width="15" hidden="1" customWidth="1"/>
    <col min="40" max="40" width="12.44140625" hidden="1" customWidth="1"/>
    <col min="41" max="41" width="12.109375" hidden="1" customWidth="1"/>
    <col min="42" max="42" width="12.44140625" hidden="1" customWidth="1"/>
    <col min="43" max="44" width="15" hidden="1" customWidth="1"/>
    <col min="45" max="45" width="11.6640625" hidden="1" customWidth="1"/>
    <col min="46" max="46" width="13.33203125" hidden="1" customWidth="1"/>
    <col min="47" max="47" width="12.5546875" hidden="1" customWidth="1"/>
    <col min="48" max="49" width="14.109375" hidden="1" customWidth="1"/>
    <col min="50" max="50" width="13.5546875" hidden="1" customWidth="1"/>
    <col min="51" max="51" width="13.44140625" hidden="1" customWidth="1"/>
    <col min="52" max="52" width="13" hidden="1" customWidth="1"/>
    <col min="53" max="54" width="13.44140625" hidden="1" customWidth="1"/>
    <col min="55" max="56" width="15.5546875" hidden="1" customWidth="1"/>
    <col min="57" max="57" width="13.88671875" hidden="1" customWidth="1"/>
    <col min="58" max="58" width="9" hidden="1" customWidth="1"/>
    <col min="59" max="59" width="14.88671875" hidden="1" customWidth="1"/>
    <col min="60" max="60" width="14.5546875" hidden="1" customWidth="1"/>
    <col min="61" max="61" width="16.5546875" hidden="1" customWidth="1"/>
    <col min="62" max="62" width="13.6640625" hidden="1" customWidth="1"/>
    <col min="63" max="63" width="14" hidden="1" customWidth="1"/>
    <col min="64" max="69" width="16.5546875" hidden="1" customWidth="1"/>
    <col min="70" max="70" width="15" hidden="1" customWidth="1"/>
    <col min="71" max="72" width="14.44140625" hidden="1" customWidth="1"/>
    <col min="73" max="73" width="16.5546875" hidden="1" customWidth="1"/>
    <col min="74" max="74" width="13.33203125" hidden="1" customWidth="1"/>
    <col min="75" max="75" width="13.44140625" hidden="1" customWidth="1"/>
    <col min="76" max="76" width="12.88671875" hidden="1" customWidth="1"/>
    <col min="77" max="78" width="16.5546875" hidden="1" customWidth="1"/>
    <col min="79" max="79" width="15.44140625" hidden="1" customWidth="1"/>
    <col min="80" max="80" width="14" hidden="1" customWidth="1"/>
    <col min="81" max="81" width="16.5546875" hidden="1" customWidth="1"/>
    <col min="82" max="82" width="14" hidden="1" customWidth="1"/>
    <col min="83" max="83" width="16.33203125" customWidth="1"/>
    <col min="84" max="84" width="17.33203125" customWidth="1"/>
    <col min="85" max="85" width="12.33203125" hidden="1" customWidth="1"/>
    <col min="86" max="88" width="13.33203125" hidden="1" customWidth="1"/>
    <col min="89" max="90" width="14" hidden="1" customWidth="1"/>
    <col min="91" max="91" width="15.44140625" hidden="1" customWidth="1"/>
    <col min="92" max="94" width="13.5546875" hidden="1" customWidth="1"/>
    <col min="95" max="95" width="11.6640625" hidden="1" customWidth="1"/>
    <col min="96" max="96" width="13.44140625" hidden="1" customWidth="1"/>
    <col min="97" max="97" width="15.6640625" hidden="1" customWidth="1"/>
    <col min="98" max="99" width="16.33203125" hidden="1" customWidth="1"/>
    <col min="100" max="100" width="13.6640625" hidden="1" customWidth="1"/>
    <col min="101" max="101" width="13" hidden="1" customWidth="1"/>
    <col min="102" max="103" width="14.33203125" hidden="1" customWidth="1"/>
    <col min="104" max="104" width="13.6640625" hidden="1" customWidth="1"/>
    <col min="105" max="106" width="12.33203125" hidden="1" customWidth="1"/>
    <col min="107" max="107" width="13.44140625" hidden="1" customWidth="1"/>
    <col min="108" max="108" width="12.5546875" customWidth="1"/>
    <col min="109" max="109" width="15" customWidth="1"/>
    <col min="110" max="110" width="13.6640625" hidden="1" customWidth="1"/>
    <col min="111" max="111" width="14.44140625" hidden="1" customWidth="1"/>
    <col min="112" max="112" width="12.88671875" hidden="1" customWidth="1"/>
    <col min="113" max="113" width="14" hidden="1" customWidth="1"/>
    <col min="114" max="115" width="15.5546875" hidden="1" customWidth="1"/>
    <col min="116" max="116" width="14.44140625" hidden="1" customWidth="1"/>
    <col min="117" max="117" width="12.6640625" hidden="1" customWidth="1"/>
    <col min="118" max="119" width="13.5546875" hidden="1" customWidth="1"/>
    <col min="120" max="121" width="13.88671875" hidden="1" customWidth="1"/>
    <col min="122" max="122" width="13.6640625" hidden="1" customWidth="1"/>
    <col min="123" max="125" width="13.88671875" hidden="1" customWidth="1"/>
    <col min="126" max="126" width="13.33203125" hidden="1" customWidth="1"/>
    <col min="127" max="128" width="14.44140625" hidden="1" customWidth="1"/>
    <col min="129" max="129" width="14.88671875" hidden="1" customWidth="1"/>
    <col min="130" max="131" width="14.33203125" hidden="1" customWidth="1"/>
    <col min="132" max="132" width="13.5546875" hidden="1" customWidth="1"/>
    <col min="133" max="133" width="10.33203125" customWidth="1"/>
    <col min="134" max="134" width="30" customWidth="1"/>
    <col min="135" max="135" width="16" customWidth="1"/>
    <col min="136" max="136" width="16.5546875" customWidth="1"/>
    <col min="137" max="137" width="12.6640625" customWidth="1"/>
    <col min="138" max="155" width="11.44140625" customWidth="1"/>
  </cols>
  <sheetData>
    <row r="1" spans="1:137" ht="15.75" x14ac:dyDescent="0.25">
      <c r="B1" s="1"/>
      <c r="C1" s="220" t="s">
        <v>0</v>
      </c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220"/>
      <c r="R1" s="220"/>
      <c r="S1" s="220"/>
      <c r="T1" s="220"/>
      <c r="U1" s="220"/>
      <c r="V1" s="220"/>
      <c r="W1" s="220"/>
      <c r="X1" s="220"/>
      <c r="Y1" s="220"/>
      <c r="Z1" s="220"/>
      <c r="AA1" s="220"/>
      <c r="AB1" s="220"/>
      <c r="AC1" s="220"/>
      <c r="AD1" s="220"/>
      <c r="AE1" s="220"/>
      <c r="AF1" s="220"/>
      <c r="AG1" s="220"/>
      <c r="AH1" s="220"/>
      <c r="AI1" s="220"/>
      <c r="AJ1" s="220"/>
      <c r="AK1" s="220"/>
      <c r="AL1" s="220"/>
      <c r="AM1" s="220"/>
      <c r="AN1" s="220"/>
      <c r="AO1" s="220"/>
      <c r="AP1" s="220"/>
      <c r="AQ1" s="220"/>
      <c r="AR1" s="220"/>
      <c r="AS1" s="220"/>
      <c r="AT1" s="220"/>
      <c r="AU1" s="220"/>
      <c r="AV1" s="220"/>
      <c r="AW1" s="220"/>
      <c r="AX1" s="220"/>
      <c r="AY1" s="220"/>
      <c r="AZ1" s="220"/>
      <c r="BA1" s="220"/>
      <c r="BB1" s="220"/>
      <c r="BC1" s="220"/>
      <c r="BD1" s="220"/>
      <c r="BE1" s="220"/>
      <c r="BF1" s="220"/>
      <c r="BG1" s="220"/>
      <c r="BH1" s="220"/>
      <c r="BI1" s="220"/>
      <c r="BJ1" s="220"/>
      <c r="BK1" s="220"/>
      <c r="BL1" s="220"/>
      <c r="BM1" s="220"/>
      <c r="BN1" s="220"/>
      <c r="BO1" s="220"/>
      <c r="BP1" s="220"/>
      <c r="BQ1" s="220"/>
      <c r="BR1" s="220"/>
      <c r="BS1" s="220"/>
      <c r="BT1" s="220"/>
      <c r="BU1" s="220"/>
      <c r="BV1" s="220"/>
      <c r="BW1" s="220"/>
      <c r="BX1" s="220"/>
      <c r="BY1" s="220"/>
      <c r="BZ1" s="220"/>
      <c r="CA1" s="220"/>
      <c r="CB1" s="220"/>
      <c r="CC1" s="220"/>
      <c r="CD1" s="220"/>
      <c r="CE1" s="220"/>
      <c r="CF1" s="220"/>
      <c r="CG1" s="220"/>
      <c r="CH1" s="220"/>
      <c r="CI1" s="220"/>
      <c r="CJ1" s="220"/>
      <c r="CK1" s="220"/>
      <c r="CL1" s="220"/>
      <c r="CM1" s="220"/>
      <c r="CN1" s="220"/>
      <c r="CO1" s="220"/>
      <c r="CP1" s="220"/>
      <c r="CQ1" s="220"/>
      <c r="CR1" s="220"/>
      <c r="CS1" s="220"/>
      <c r="CT1" s="220"/>
      <c r="CU1" s="220"/>
      <c r="CV1" s="220"/>
      <c r="CW1" s="220"/>
      <c r="CX1" s="220"/>
      <c r="CY1" s="220"/>
      <c r="CZ1" s="220"/>
      <c r="DA1" s="220"/>
      <c r="DB1" s="220"/>
      <c r="DC1" s="220"/>
      <c r="DD1" s="220"/>
      <c r="DE1" s="220"/>
    </row>
    <row r="2" spans="1:137" ht="18" customHeight="1" x14ac:dyDescent="0.3">
      <c r="B2" s="2"/>
      <c r="C2" s="221" t="s">
        <v>1</v>
      </c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  <c r="Y2" s="221"/>
      <c r="Z2" s="221"/>
      <c r="AA2" s="221"/>
      <c r="AB2" s="221"/>
      <c r="AC2" s="221"/>
      <c r="AD2" s="221"/>
      <c r="AE2" s="221"/>
      <c r="AF2" s="221"/>
      <c r="AG2" s="221"/>
      <c r="AH2" s="221"/>
      <c r="AI2" s="221"/>
      <c r="AJ2" s="221"/>
      <c r="AK2" s="221"/>
      <c r="AL2" s="221"/>
      <c r="AM2" s="221"/>
      <c r="AN2" s="221"/>
      <c r="AO2" s="221"/>
      <c r="AP2" s="221"/>
      <c r="AQ2" s="221"/>
      <c r="AR2" s="221"/>
      <c r="AS2" s="221"/>
      <c r="AT2" s="221"/>
      <c r="AU2" s="221"/>
      <c r="AV2" s="221"/>
      <c r="AW2" s="221"/>
      <c r="AX2" s="221"/>
      <c r="AY2" s="221"/>
      <c r="AZ2" s="221"/>
      <c r="BA2" s="221"/>
      <c r="BB2" s="221"/>
      <c r="BC2" s="221"/>
      <c r="BD2" s="221"/>
      <c r="BE2" s="221"/>
      <c r="BF2" s="221"/>
      <c r="BG2" s="221"/>
      <c r="BH2" s="221"/>
      <c r="BI2" s="221"/>
      <c r="BJ2" s="221"/>
      <c r="BK2" s="221"/>
      <c r="BL2" s="221"/>
      <c r="BM2" s="221"/>
      <c r="BN2" s="221"/>
      <c r="BO2" s="221"/>
      <c r="BP2" s="221"/>
      <c r="BQ2" s="221"/>
      <c r="BR2" s="221"/>
      <c r="BS2" s="221"/>
      <c r="BT2" s="221"/>
      <c r="BU2" s="221"/>
      <c r="BV2" s="221"/>
      <c r="BW2" s="221"/>
      <c r="BX2" s="221"/>
      <c r="BY2" s="221"/>
      <c r="BZ2" s="221"/>
      <c r="CA2" s="221"/>
      <c r="CB2" s="221"/>
      <c r="CC2" s="221"/>
      <c r="CD2" s="221"/>
      <c r="CE2" s="221"/>
      <c r="CF2" s="221"/>
      <c r="CG2" s="221"/>
      <c r="CH2" s="221"/>
      <c r="CI2" s="221"/>
      <c r="CJ2" s="221"/>
      <c r="CK2" s="221"/>
      <c r="CL2" s="221"/>
      <c r="CM2" s="221"/>
      <c r="CN2" s="221"/>
      <c r="CO2" s="221"/>
      <c r="CP2" s="221"/>
      <c r="CQ2" s="221"/>
      <c r="CR2" s="221"/>
      <c r="CS2" s="221"/>
      <c r="CT2" s="221"/>
      <c r="CU2" s="221"/>
      <c r="CV2" s="221"/>
      <c r="CW2" s="221"/>
      <c r="CX2" s="221"/>
      <c r="CY2" s="221"/>
      <c r="CZ2" s="221"/>
      <c r="DA2" s="221"/>
      <c r="DB2" s="221"/>
      <c r="DC2" s="221"/>
      <c r="DD2" s="221"/>
      <c r="DE2" s="221"/>
    </row>
    <row r="3" spans="1:137" ht="18" customHeight="1" x14ac:dyDescent="0.3">
      <c r="B3" s="2"/>
      <c r="C3" s="221" t="s">
        <v>398</v>
      </c>
      <c r="D3" s="221"/>
      <c r="E3" s="221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221"/>
      <c r="W3" s="221"/>
      <c r="X3" s="221"/>
      <c r="Y3" s="221"/>
      <c r="Z3" s="221"/>
      <c r="AA3" s="221"/>
      <c r="AB3" s="221"/>
      <c r="AC3" s="221"/>
      <c r="AD3" s="221"/>
      <c r="AE3" s="221"/>
      <c r="AF3" s="221"/>
      <c r="AG3" s="221"/>
      <c r="AH3" s="221"/>
      <c r="AI3" s="221"/>
      <c r="AJ3" s="221"/>
      <c r="AK3" s="221"/>
      <c r="AL3" s="221"/>
      <c r="AM3" s="221"/>
      <c r="AN3" s="221"/>
      <c r="AO3" s="221"/>
      <c r="AP3" s="221"/>
      <c r="AQ3" s="221"/>
      <c r="AR3" s="221"/>
      <c r="AS3" s="221"/>
      <c r="AT3" s="221"/>
      <c r="AU3" s="221"/>
      <c r="AV3" s="221"/>
      <c r="AW3" s="221"/>
      <c r="AX3" s="221"/>
      <c r="AY3" s="221"/>
      <c r="AZ3" s="221"/>
      <c r="BA3" s="221"/>
      <c r="BB3" s="221"/>
      <c r="BC3" s="221"/>
      <c r="BD3" s="221"/>
      <c r="BE3" s="221"/>
      <c r="BF3" s="221"/>
      <c r="BG3" s="221"/>
      <c r="BH3" s="221"/>
      <c r="BI3" s="221"/>
      <c r="BJ3" s="221"/>
      <c r="BK3" s="221"/>
      <c r="BL3" s="221"/>
      <c r="BM3" s="221"/>
      <c r="BN3" s="221"/>
      <c r="BO3" s="221"/>
      <c r="BP3" s="221"/>
      <c r="BQ3" s="221"/>
      <c r="BR3" s="221"/>
      <c r="BS3" s="221"/>
      <c r="BT3" s="221"/>
      <c r="BU3" s="221"/>
      <c r="BV3" s="221"/>
      <c r="BW3" s="221"/>
      <c r="BX3" s="221"/>
      <c r="BY3" s="221"/>
      <c r="BZ3" s="221"/>
      <c r="CA3" s="221"/>
      <c r="CB3" s="221"/>
      <c r="CC3" s="221"/>
      <c r="CD3" s="221"/>
      <c r="CE3" s="221"/>
      <c r="CF3" s="221"/>
      <c r="CG3" s="221"/>
      <c r="CH3" s="221"/>
      <c r="CI3" s="221"/>
      <c r="CJ3" s="221"/>
      <c r="CK3" s="221"/>
      <c r="CL3" s="221"/>
      <c r="CM3" s="221"/>
      <c r="CN3" s="221"/>
      <c r="CO3" s="221"/>
      <c r="CP3" s="221"/>
      <c r="CQ3" s="221"/>
      <c r="CR3" s="221"/>
      <c r="CS3" s="221"/>
      <c r="CT3" s="221"/>
      <c r="CU3" s="221"/>
      <c r="CV3" s="221"/>
      <c r="CW3" s="221"/>
      <c r="CX3" s="221"/>
      <c r="CY3" s="221"/>
      <c r="CZ3" s="221"/>
      <c r="DA3" s="221"/>
      <c r="DB3" s="221"/>
      <c r="DC3" s="221"/>
      <c r="DD3" s="221"/>
      <c r="DE3" s="221"/>
      <c r="DF3" s="221"/>
      <c r="DG3" s="221"/>
      <c r="DH3" s="221"/>
      <c r="DI3" s="221"/>
      <c r="DJ3" s="221"/>
      <c r="DK3" s="221"/>
      <c r="DL3" s="221"/>
      <c r="DM3" s="221"/>
      <c r="DN3" s="221"/>
      <c r="DO3" s="221"/>
      <c r="DP3" s="221"/>
      <c r="DQ3" s="221"/>
      <c r="DR3" s="221"/>
      <c r="DS3" s="221"/>
      <c r="DT3" s="221"/>
      <c r="DU3" s="221"/>
      <c r="DV3" s="221"/>
      <c r="DW3" s="221"/>
      <c r="DX3" s="221"/>
      <c r="DY3" s="221"/>
      <c r="DZ3" s="221"/>
      <c r="EA3" s="221"/>
      <c r="EB3" s="221"/>
    </row>
    <row r="4" spans="1:137" ht="15" customHeight="1" x14ac:dyDescent="0.25">
      <c r="B4" s="3"/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P4" s="210"/>
      <c r="Q4" s="210"/>
      <c r="R4" s="210"/>
      <c r="S4" s="210"/>
      <c r="T4" s="210"/>
      <c r="U4" s="210"/>
      <c r="V4" s="210"/>
      <c r="W4" s="210"/>
      <c r="X4" s="210"/>
      <c r="Y4" s="210"/>
      <c r="Z4" s="210"/>
      <c r="AA4" s="210"/>
      <c r="AB4" s="210"/>
      <c r="AC4" s="210"/>
      <c r="AD4" s="210"/>
      <c r="AE4" s="210"/>
      <c r="AF4" s="210"/>
      <c r="AG4" s="210"/>
      <c r="AH4" s="210"/>
      <c r="AI4" s="210"/>
      <c r="AJ4" s="210"/>
      <c r="AK4" s="210"/>
      <c r="AL4" s="210"/>
      <c r="AM4" s="210"/>
      <c r="AN4" s="210"/>
      <c r="AO4" s="210"/>
      <c r="AP4" s="210"/>
      <c r="AQ4" s="210"/>
      <c r="AR4" s="210"/>
      <c r="AS4" s="210"/>
      <c r="AT4" s="210"/>
      <c r="AU4" s="210"/>
      <c r="AV4" s="210"/>
      <c r="AW4" s="210"/>
      <c r="AX4" s="210"/>
      <c r="AY4" s="210"/>
      <c r="AZ4" s="210"/>
      <c r="BA4" s="210"/>
      <c r="BB4" s="210"/>
      <c r="BC4" s="210"/>
      <c r="BD4" s="210"/>
      <c r="BE4" s="210"/>
      <c r="BF4" s="210"/>
      <c r="BG4" s="210"/>
      <c r="BH4" s="210"/>
      <c r="BI4" s="210"/>
      <c r="BJ4" s="210"/>
      <c r="BK4" s="210"/>
      <c r="BL4" s="210"/>
      <c r="BM4" s="210"/>
      <c r="BN4" s="210"/>
      <c r="BO4" s="210"/>
      <c r="BP4" s="210"/>
      <c r="BQ4" s="210"/>
      <c r="BR4" s="210"/>
      <c r="BS4" s="210"/>
      <c r="BT4" s="210"/>
      <c r="BU4" s="210"/>
      <c r="BV4" s="210"/>
      <c r="BW4" s="210"/>
      <c r="BX4" s="210"/>
      <c r="BY4" s="210"/>
      <c r="BZ4" s="210"/>
      <c r="CA4" s="210"/>
      <c r="CB4" s="210"/>
      <c r="CC4" s="210"/>
      <c r="CD4" s="210"/>
      <c r="CE4" s="210"/>
      <c r="CF4" s="210"/>
      <c r="CG4" s="210"/>
      <c r="CH4" s="210"/>
      <c r="CI4" s="210"/>
      <c r="CJ4" s="210"/>
      <c r="CK4" s="210"/>
      <c r="CL4" s="210"/>
      <c r="CM4" s="210"/>
      <c r="CN4" s="210"/>
      <c r="CO4" s="210"/>
      <c r="CP4" s="210"/>
      <c r="CQ4" s="210"/>
      <c r="CR4" s="210"/>
      <c r="CS4" s="210"/>
      <c r="CT4" s="210"/>
      <c r="CU4" s="210"/>
      <c r="CV4" s="210"/>
      <c r="CW4" s="210"/>
      <c r="CX4" s="210"/>
      <c r="CY4" s="210"/>
      <c r="CZ4" s="210"/>
      <c r="DA4" s="210"/>
      <c r="DB4" s="210"/>
      <c r="DC4" s="210"/>
      <c r="DD4" s="210"/>
      <c r="DE4" s="210"/>
      <c r="DF4" s="210"/>
      <c r="DG4" s="210"/>
      <c r="DH4" s="210"/>
      <c r="DI4" s="210"/>
      <c r="DJ4" s="210"/>
      <c r="DK4" s="210"/>
      <c r="DL4" s="210"/>
      <c r="DM4" s="210"/>
      <c r="DN4" s="210"/>
      <c r="DO4" s="210"/>
      <c r="DP4" s="210"/>
      <c r="DQ4" s="210"/>
      <c r="DR4" s="210"/>
      <c r="DS4" s="210"/>
      <c r="DT4" s="210"/>
      <c r="DU4" s="210"/>
      <c r="DV4" s="210"/>
      <c r="DW4" s="210"/>
      <c r="DX4" s="210"/>
      <c r="DY4" s="210"/>
      <c r="DZ4" s="210"/>
      <c r="EA4" s="210"/>
      <c r="EB4" s="210"/>
    </row>
    <row r="5" spans="1:137" ht="15" customHeight="1" x14ac:dyDescent="0.3">
      <c r="A5" s="200" t="s">
        <v>5</v>
      </c>
      <c r="B5" s="201" t="s">
        <v>6</v>
      </c>
      <c r="C5" s="200" t="s">
        <v>7</v>
      </c>
      <c r="D5" s="200" t="s">
        <v>8</v>
      </c>
      <c r="E5" s="202" t="s">
        <v>9</v>
      </c>
      <c r="F5" s="200" t="s">
        <v>10</v>
      </c>
      <c r="G5" s="203" t="s">
        <v>393</v>
      </c>
      <c r="H5" s="203"/>
      <c r="I5" s="203"/>
      <c r="J5" s="203"/>
      <c r="K5" s="203"/>
      <c r="L5" s="203"/>
      <c r="M5" s="203"/>
      <c r="N5" s="203"/>
      <c r="O5" s="203"/>
      <c r="P5" s="203"/>
      <c r="Q5" s="203"/>
      <c r="R5" s="203"/>
      <c r="S5" s="203"/>
      <c r="T5" s="203"/>
      <c r="U5" s="203"/>
      <c r="V5" s="203"/>
      <c r="W5" s="203"/>
      <c r="X5" s="203"/>
      <c r="Y5" s="203"/>
      <c r="Z5" s="203"/>
      <c r="AA5" s="203"/>
      <c r="AB5" s="203"/>
      <c r="AC5" s="203"/>
      <c r="AD5" s="203"/>
      <c r="AE5" s="203"/>
      <c r="AF5" s="203"/>
      <c r="AG5" s="216" t="s">
        <v>394</v>
      </c>
      <c r="AH5" s="222"/>
      <c r="AI5" s="222"/>
      <c r="AJ5" s="222"/>
      <c r="AK5" s="222"/>
      <c r="AL5" s="222"/>
      <c r="AM5" s="222"/>
      <c r="AN5" s="222"/>
      <c r="AO5" s="222"/>
      <c r="AP5" s="222"/>
      <c r="AQ5" s="222"/>
      <c r="AR5" s="222"/>
      <c r="AS5" s="222"/>
      <c r="AT5" s="222"/>
      <c r="AU5" s="222"/>
      <c r="AV5" s="222"/>
      <c r="AW5" s="222"/>
      <c r="AX5" s="222"/>
      <c r="AY5" s="222"/>
      <c r="AZ5" s="222"/>
      <c r="BA5" s="222"/>
      <c r="BB5" s="222"/>
      <c r="BC5" s="222"/>
      <c r="BD5" s="222"/>
      <c r="BE5" s="217"/>
      <c r="BF5" s="218" t="s">
        <v>396</v>
      </c>
      <c r="BG5" s="219"/>
      <c r="BH5" s="184" t="s">
        <v>12</v>
      </c>
      <c r="BI5" s="185"/>
      <c r="BJ5" s="185"/>
      <c r="BK5" s="185"/>
      <c r="BL5" s="185"/>
      <c r="BM5" s="185"/>
      <c r="BN5" s="185"/>
      <c r="BO5" s="185"/>
      <c r="BP5" s="185"/>
      <c r="BQ5" s="185"/>
      <c r="BR5" s="185"/>
      <c r="BS5" s="185"/>
      <c r="BT5" s="184" t="s">
        <v>12</v>
      </c>
      <c r="BU5" s="185"/>
      <c r="BV5" s="185"/>
      <c r="BW5" s="185"/>
      <c r="BX5" s="185"/>
      <c r="BY5" s="185"/>
      <c r="BZ5" s="185"/>
      <c r="CA5" s="185"/>
      <c r="CB5" s="185"/>
      <c r="CC5" s="185"/>
      <c r="CD5" s="186"/>
      <c r="CE5" s="216" t="s">
        <v>399</v>
      </c>
      <c r="CF5" s="217"/>
      <c r="CG5" s="204" t="s">
        <v>13</v>
      </c>
      <c r="CH5" s="205"/>
      <c r="CI5" s="205"/>
      <c r="CJ5" s="205"/>
      <c r="CK5" s="205"/>
      <c r="CL5" s="205"/>
      <c r="CM5" s="205"/>
      <c r="CN5" s="205"/>
      <c r="CO5" s="205"/>
      <c r="CP5" s="205"/>
      <c r="CQ5" s="205"/>
      <c r="CR5" s="205"/>
      <c r="CS5" s="205"/>
      <c r="CT5" s="11"/>
      <c r="CU5" s="11"/>
      <c r="CV5" s="205"/>
      <c r="CW5" s="205"/>
      <c r="CX5" s="205"/>
      <c r="CY5" s="205"/>
      <c r="CZ5" s="205"/>
      <c r="DA5" s="205"/>
      <c r="DB5" s="205"/>
      <c r="DC5" s="206"/>
      <c r="DD5" s="218" t="s">
        <v>397</v>
      </c>
      <c r="DE5" s="219"/>
      <c r="DF5" s="218" t="s">
        <v>397</v>
      </c>
      <c r="DG5" s="219"/>
      <c r="DH5" s="218" t="s">
        <v>397</v>
      </c>
      <c r="DI5" s="219"/>
      <c r="DJ5" s="218" t="s">
        <v>397</v>
      </c>
      <c r="DK5" s="219"/>
      <c r="DL5" s="218" t="s">
        <v>397</v>
      </c>
      <c r="DM5" s="219"/>
      <c r="DN5" s="218" t="s">
        <v>397</v>
      </c>
      <c r="DO5" s="219"/>
      <c r="DP5" s="218" t="s">
        <v>397</v>
      </c>
      <c r="DQ5" s="219"/>
      <c r="DR5" s="185" t="s">
        <v>12</v>
      </c>
      <c r="DS5" s="185"/>
      <c r="DT5" s="185"/>
      <c r="DU5" s="185"/>
      <c r="DV5" s="185"/>
      <c r="DW5" s="185"/>
      <c r="DX5" s="185"/>
      <c r="DY5" s="185"/>
      <c r="DZ5" s="185"/>
      <c r="EA5" s="185"/>
      <c r="EB5" s="186"/>
      <c r="ED5" s="131"/>
      <c r="EE5" s="131"/>
      <c r="EF5" s="132"/>
      <c r="EG5" s="132"/>
    </row>
    <row r="6" spans="1:137" s="16" customFormat="1" ht="24" customHeight="1" x14ac:dyDescent="0.25">
      <c r="A6" s="200"/>
      <c r="B6" s="201"/>
      <c r="C6" s="200"/>
      <c r="D6" s="200"/>
      <c r="E6" s="202"/>
      <c r="F6" s="200"/>
      <c r="G6" s="203"/>
      <c r="H6" s="203"/>
      <c r="I6" s="203"/>
      <c r="J6" s="203"/>
      <c r="K6" s="203"/>
      <c r="L6" s="203"/>
      <c r="M6" s="203"/>
      <c r="N6" s="203"/>
      <c r="O6" s="203"/>
      <c r="P6" s="203"/>
      <c r="Q6" s="203"/>
      <c r="R6" s="203"/>
      <c r="S6" s="203"/>
      <c r="T6" s="203"/>
      <c r="U6" s="203"/>
      <c r="V6" s="203"/>
      <c r="W6" s="203"/>
      <c r="X6" s="203"/>
      <c r="Y6" s="203"/>
      <c r="Z6" s="203"/>
      <c r="AA6" s="203"/>
      <c r="AB6" s="203"/>
      <c r="AC6" s="203"/>
      <c r="AD6" s="203"/>
      <c r="AE6" s="203"/>
      <c r="AF6" s="203"/>
      <c r="AG6" s="141" t="s">
        <v>40</v>
      </c>
      <c r="AH6" s="141" t="s">
        <v>395</v>
      </c>
      <c r="AI6" s="14" t="s">
        <v>17</v>
      </c>
      <c r="AJ6" s="14" t="s">
        <v>18</v>
      </c>
      <c r="AK6" s="14" t="s">
        <v>19</v>
      </c>
      <c r="AL6" s="14" t="s">
        <v>20</v>
      </c>
      <c r="AM6" s="14" t="s">
        <v>21</v>
      </c>
      <c r="AN6" s="14" t="s">
        <v>22</v>
      </c>
      <c r="AO6" s="14" t="s">
        <v>23</v>
      </c>
      <c r="AP6" s="14" t="s">
        <v>24</v>
      </c>
      <c r="AQ6" s="14" t="s">
        <v>25</v>
      </c>
      <c r="AR6" s="14" t="s">
        <v>26</v>
      </c>
      <c r="AS6" s="14" t="s">
        <v>27</v>
      </c>
      <c r="AT6" s="14" t="s">
        <v>28</v>
      </c>
      <c r="AU6" s="14" t="s">
        <v>29</v>
      </c>
      <c r="AV6" s="14" t="s">
        <v>30</v>
      </c>
      <c r="AW6" s="14" t="s">
        <v>31</v>
      </c>
      <c r="AX6" s="14" t="s">
        <v>32</v>
      </c>
      <c r="AY6" s="14" t="s">
        <v>33</v>
      </c>
      <c r="AZ6" s="14" t="s">
        <v>34</v>
      </c>
      <c r="BA6" s="14" t="s">
        <v>35</v>
      </c>
      <c r="BB6" s="14" t="s">
        <v>36</v>
      </c>
      <c r="BC6" s="14" t="s">
        <v>37</v>
      </c>
      <c r="BD6" s="14" t="s">
        <v>38</v>
      </c>
      <c r="BE6" s="141" t="s">
        <v>395</v>
      </c>
      <c r="BF6" s="142" t="s">
        <v>40</v>
      </c>
      <c r="BG6" s="142" t="s">
        <v>395</v>
      </c>
      <c r="BH6" s="12" t="s">
        <v>17</v>
      </c>
      <c r="BI6" s="12" t="s">
        <v>18</v>
      </c>
      <c r="BJ6" s="12" t="s">
        <v>42</v>
      </c>
      <c r="BK6" s="12" t="s">
        <v>20</v>
      </c>
      <c r="BL6" s="12" t="s">
        <v>21</v>
      </c>
      <c r="BM6" s="12" t="s">
        <v>22</v>
      </c>
      <c r="BN6" s="12" t="s">
        <v>23</v>
      </c>
      <c r="BO6" s="12" t="s">
        <v>24</v>
      </c>
      <c r="BP6" s="12" t="s">
        <v>25</v>
      </c>
      <c r="BQ6" s="12" t="s">
        <v>26</v>
      </c>
      <c r="BR6" s="12" t="s">
        <v>27</v>
      </c>
      <c r="BS6" s="12" t="s">
        <v>28</v>
      </c>
      <c r="BT6" s="12" t="s">
        <v>29</v>
      </c>
      <c r="BU6" s="12" t="s">
        <v>30</v>
      </c>
      <c r="BV6" s="12" t="s">
        <v>31</v>
      </c>
      <c r="BW6" s="12" t="s">
        <v>32</v>
      </c>
      <c r="BX6" s="12" t="s">
        <v>33</v>
      </c>
      <c r="BY6" s="12" t="s">
        <v>34</v>
      </c>
      <c r="BZ6" s="12" t="s">
        <v>35</v>
      </c>
      <c r="CA6" s="12" t="s">
        <v>36</v>
      </c>
      <c r="CB6" s="12" t="s">
        <v>37</v>
      </c>
      <c r="CC6" s="12" t="s">
        <v>38</v>
      </c>
      <c r="CD6" s="12" t="s">
        <v>39</v>
      </c>
      <c r="CE6" s="141" t="s">
        <v>40</v>
      </c>
      <c r="CF6" s="141" t="s">
        <v>395</v>
      </c>
      <c r="CG6" s="14" t="s">
        <v>17</v>
      </c>
      <c r="CH6" s="14" t="s">
        <v>18</v>
      </c>
      <c r="CI6" s="14" t="s">
        <v>42</v>
      </c>
      <c r="CJ6" s="14" t="s">
        <v>20</v>
      </c>
      <c r="CK6" s="14" t="s">
        <v>21</v>
      </c>
      <c r="CL6" s="14" t="s">
        <v>22</v>
      </c>
      <c r="CM6" s="14" t="s">
        <v>23</v>
      </c>
      <c r="CN6" s="14" t="s">
        <v>24</v>
      </c>
      <c r="CO6" s="14" t="s">
        <v>25</v>
      </c>
      <c r="CP6" s="14" t="s">
        <v>26</v>
      </c>
      <c r="CQ6" s="14" t="s">
        <v>27</v>
      </c>
      <c r="CR6" s="14" t="s">
        <v>28</v>
      </c>
      <c r="CS6" s="14" t="s">
        <v>29</v>
      </c>
      <c r="CT6" s="14" t="s">
        <v>30</v>
      </c>
      <c r="CU6" s="14" t="s">
        <v>31</v>
      </c>
      <c r="CV6" s="14" t="s">
        <v>32</v>
      </c>
      <c r="CW6" s="14" t="s">
        <v>33</v>
      </c>
      <c r="CX6" s="14" t="s">
        <v>34</v>
      </c>
      <c r="CY6" s="14" t="s">
        <v>35</v>
      </c>
      <c r="CZ6" s="14" t="s">
        <v>36</v>
      </c>
      <c r="DA6" s="14" t="s">
        <v>37</v>
      </c>
      <c r="DB6" s="14" t="s">
        <v>38</v>
      </c>
      <c r="DC6" s="14" t="s">
        <v>39</v>
      </c>
      <c r="DD6" s="142" t="s">
        <v>40</v>
      </c>
      <c r="DE6" s="142" t="s">
        <v>395</v>
      </c>
      <c r="DF6" s="142" t="s">
        <v>40</v>
      </c>
      <c r="DG6" s="142" t="s">
        <v>395</v>
      </c>
      <c r="DH6" s="142" t="s">
        <v>40</v>
      </c>
      <c r="DI6" s="142" t="s">
        <v>395</v>
      </c>
      <c r="DJ6" s="142" t="s">
        <v>40</v>
      </c>
      <c r="DK6" s="142" t="s">
        <v>395</v>
      </c>
      <c r="DL6" s="142" t="s">
        <v>40</v>
      </c>
      <c r="DM6" s="142" t="s">
        <v>395</v>
      </c>
      <c r="DN6" s="142" t="s">
        <v>40</v>
      </c>
      <c r="DO6" s="142" t="s">
        <v>395</v>
      </c>
      <c r="DP6" s="142" t="s">
        <v>40</v>
      </c>
      <c r="DQ6" s="142" t="s">
        <v>395</v>
      </c>
      <c r="DR6" s="12" t="s">
        <v>29</v>
      </c>
      <c r="DS6" s="12" t="s">
        <v>30</v>
      </c>
      <c r="DT6" s="12" t="s">
        <v>31</v>
      </c>
      <c r="DU6" s="12" t="s">
        <v>32</v>
      </c>
      <c r="DV6" s="12" t="s">
        <v>33</v>
      </c>
      <c r="DW6" s="12" t="s">
        <v>34</v>
      </c>
      <c r="DX6" s="12" t="s">
        <v>35</v>
      </c>
      <c r="DY6" s="12" t="s">
        <v>36</v>
      </c>
      <c r="DZ6" s="12" t="s">
        <v>37</v>
      </c>
      <c r="EA6" s="12" t="s">
        <v>38</v>
      </c>
      <c r="EB6" s="12" t="s">
        <v>39</v>
      </c>
      <c r="ED6" s="131" t="s">
        <v>5</v>
      </c>
      <c r="EE6" s="131" t="s">
        <v>379</v>
      </c>
      <c r="EF6" s="132" t="s">
        <v>380</v>
      </c>
      <c r="EG6" s="132" t="s">
        <v>381</v>
      </c>
    </row>
    <row r="7" spans="1:137" ht="49.5" hidden="1" customHeight="1" x14ac:dyDescent="0.25">
      <c r="A7" s="197" t="s">
        <v>46</v>
      </c>
      <c r="B7" s="192" t="s">
        <v>47</v>
      </c>
      <c r="C7" s="17" t="s">
        <v>48</v>
      </c>
      <c r="D7" s="18" t="s">
        <v>49</v>
      </c>
      <c r="E7" s="19">
        <v>510</v>
      </c>
      <c r="F7" s="20" t="s">
        <v>50</v>
      </c>
      <c r="G7" s="21">
        <f t="shared" ref="G7:G24" si="0">SUM(J7:AF7)</f>
        <v>91329417</v>
      </c>
      <c r="H7" s="22">
        <v>100000000</v>
      </c>
      <c r="I7" s="22">
        <f>H7-G7</f>
        <v>8670583</v>
      </c>
      <c r="J7" s="21"/>
      <c r="K7" s="21">
        <f>40000000+13893335</f>
        <v>53893335</v>
      </c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>
        <v>10000000</v>
      </c>
      <c r="AA7" s="21">
        <f>6936130</f>
        <v>6936130</v>
      </c>
      <c r="AB7" s="21"/>
      <c r="AC7" s="21"/>
      <c r="AD7" s="21"/>
      <c r="AE7" s="21"/>
      <c r="AF7" s="21">
        <f>24000000-2000048-1500000</f>
        <v>20499952</v>
      </c>
      <c r="AG7" s="23">
        <f t="shared" ref="AG7:AG70" si="1">AH7/G7</f>
        <v>0.55088147557100908</v>
      </c>
      <c r="AH7" s="21">
        <f t="shared" ref="AH7:AH24" si="2">SUM(AI7:BE7)</f>
        <v>50311684</v>
      </c>
      <c r="AI7" s="24"/>
      <c r="AJ7" s="21">
        <f>+'[1]Acuerdo PLAN INVERSIÓN 2021'!$J$18</f>
        <v>29813332</v>
      </c>
      <c r="AK7" s="25"/>
      <c r="AL7" s="25"/>
      <c r="AM7" s="24"/>
      <c r="AN7" s="24"/>
      <c r="AO7" s="21"/>
      <c r="AP7" s="26"/>
      <c r="AQ7" s="26"/>
      <c r="AR7" s="26"/>
      <c r="AS7" s="26"/>
      <c r="AT7" s="26"/>
      <c r="AU7" s="26"/>
      <c r="AV7" s="26"/>
      <c r="AW7" s="26"/>
      <c r="AX7" s="21"/>
      <c r="AY7" s="21"/>
      <c r="AZ7" s="21"/>
      <c r="BA7" s="21"/>
      <c r="BB7" s="21"/>
      <c r="BC7" s="21"/>
      <c r="BD7" s="21"/>
      <c r="BE7" s="21">
        <f>+'[1]Acuerdo PLAN INVERSIÓN 2021'!$AF$18</f>
        <v>20498352</v>
      </c>
      <c r="BF7" s="23">
        <f>1-AG7</f>
        <v>0.44911852442899092</v>
      </c>
      <c r="BG7" s="21">
        <f t="shared" ref="BG7:BG24" si="3">SUM(BH7:CD7)</f>
        <v>41017733</v>
      </c>
      <c r="BH7" s="21">
        <f t="shared" ref="BH7:BW22" si="4">+J7-AI7</f>
        <v>0</v>
      </c>
      <c r="BI7" s="21">
        <f t="shared" si="4"/>
        <v>24080003</v>
      </c>
      <c r="BJ7" s="21">
        <f t="shared" si="4"/>
        <v>0</v>
      </c>
      <c r="BK7" s="21">
        <f t="shared" si="4"/>
        <v>0</v>
      </c>
      <c r="BL7" s="21">
        <f t="shared" si="4"/>
        <v>0</v>
      </c>
      <c r="BM7" s="21">
        <f t="shared" si="4"/>
        <v>0</v>
      </c>
      <c r="BN7" s="21">
        <f t="shared" si="4"/>
        <v>0</v>
      </c>
      <c r="BO7" s="21">
        <f t="shared" si="4"/>
        <v>0</v>
      </c>
      <c r="BP7" s="21">
        <f t="shared" si="4"/>
        <v>0</v>
      </c>
      <c r="BQ7" s="21">
        <f t="shared" si="4"/>
        <v>0</v>
      </c>
      <c r="BR7" s="21">
        <f t="shared" si="4"/>
        <v>0</v>
      </c>
      <c r="BS7" s="21">
        <f t="shared" si="4"/>
        <v>0</v>
      </c>
      <c r="BT7" s="21">
        <f t="shared" si="4"/>
        <v>0</v>
      </c>
      <c r="BU7" s="21">
        <f t="shared" si="4"/>
        <v>0</v>
      </c>
      <c r="BV7" s="21">
        <f t="shared" si="4"/>
        <v>0</v>
      </c>
      <c r="BW7" s="21">
        <f t="shared" si="4"/>
        <v>0</v>
      </c>
      <c r="BX7" s="21">
        <f t="shared" ref="BX7:CD24" si="5">+Z7-AY7</f>
        <v>10000000</v>
      </c>
      <c r="BY7" s="21">
        <f t="shared" si="5"/>
        <v>6936130</v>
      </c>
      <c r="BZ7" s="21">
        <f t="shared" si="5"/>
        <v>0</v>
      </c>
      <c r="CA7" s="21">
        <f t="shared" si="5"/>
        <v>0</v>
      </c>
      <c r="CB7" s="21">
        <f t="shared" si="5"/>
        <v>0</v>
      </c>
      <c r="CC7" s="21">
        <f t="shared" si="5"/>
        <v>0</v>
      </c>
      <c r="CD7" s="21">
        <f t="shared" si="5"/>
        <v>1600</v>
      </c>
      <c r="CE7" s="23">
        <f t="shared" ref="CE7:CE70" si="6">CF7/G7</f>
        <v>0.55088147557100908</v>
      </c>
      <c r="CF7" s="21">
        <f t="shared" ref="CF7:CF24" si="7">SUM(CG7:DC7)</f>
        <v>50311684</v>
      </c>
      <c r="CG7" s="21"/>
      <c r="CH7" s="21">
        <f>+'[2]Acuerdo PLAN INVERSIÓN 2021'!$H$19+'[2]Acuerdo PLAN INVERSIÓN 2021'!$H$22+'[2]Acuerdo PLAN INVERSIÓN 2021'!$H$31+'[2]Acuerdo PLAN INVERSIÓN 2021'!$H$43+'[3]Acuerdo PLAN INVERSIÓN 2021'!$H$45</f>
        <v>29813332</v>
      </c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1"/>
      <c r="CY7" s="21"/>
      <c r="CZ7" s="21"/>
      <c r="DA7" s="21"/>
      <c r="DB7" s="21"/>
      <c r="DC7" s="21">
        <f>+'[4]Acuerdo PLAN INVERSIÓN 2021'!$H$25+'[4]Acuerdo PLAN INVERSIÓN 2021'!$H$28+'[4]Acuerdo PLAN INVERSIÓN 2021'!$H$35+'[4]Acuerdo PLAN INVERSIÓN 2021'!$H$37+'[4]Acuerdo PLAN INVERSIÓN 2021'!$H$40</f>
        <v>20498352</v>
      </c>
      <c r="DD7" s="23">
        <f t="shared" ref="DD7:DD70" si="8">1-CE7</f>
        <v>0.44911852442899092</v>
      </c>
      <c r="DE7" s="21">
        <f>SUM(DF7:EB7)</f>
        <v>41017733</v>
      </c>
      <c r="DF7" s="21">
        <f t="shared" ref="DF7:DU22" si="9">+J7-CG7</f>
        <v>0</v>
      </c>
      <c r="DG7" s="21">
        <f t="shared" si="9"/>
        <v>24080003</v>
      </c>
      <c r="DH7" s="21">
        <f t="shared" si="9"/>
        <v>0</v>
      </c>
      <c r="DI7" s="21">
        <f t="shared" si="9"/>
        <v>0</v>
      </c>
      <c r="DJ7" s="21">
        <f t="shared" si="9"/>
        <v>0</v>
      </c>
      <c r="DK7" s="21">
        <f t="shared" si="9"/>
        <v>0</v>
      </c>
      <c r="DL7" s="21">
        <f t="shared" si="9"/>
        <v>0</v>
      </c>
      <c r="DM7" s="21">
        <f t="shared" si="9"/>
        <v>0</v>
      </c>
      <c r="DN7" s="21">
        <f t="shared" si="9"/>
        <v>0</v>
      </c>
      <c r="DO7" s="21">
        <f t="shared" si="9"/>
        <v>0</v>
      </c>
      <c r="DP7" s="21">
        <f t="shared" si="9"/>
        <v>0</v>
      </c>
      <c r="DQ7" s="21">
        <f t="shared" si="9"/>
        <v>0</v>
      </c>
      <c r="DR7" s="21">
        <f t="shared" si="9"/>
        <v>0</v>
      </c>
      <c r="DS7" s="21">
        <f t="shared" si="9"/>
        <v>0</v>
      </c>
      <c r="DT7" s="21">
        <f t="shared" si="9"/>
        <v>0</v>
      </c>
      <c r="DU7" s="21">
        <f t="shared" si="9"/>
        <v>0</v>
      </c>
      <c r="DV7" s="21">
        <f t="shared" ref="DV7:EB24" si="10">+Z7-CW7</f>
        <v>10000000</v>
      </c>
      <c r="DW7" s="21">
        <f t="shared" si="10"/>
        <v>6936130</v>
      </c>
      <c r="DX7" s="21">
        <f t="shared" si="10"/>
        <v>0</v>
      </c>
      <c r="DY7" s="21">
        <f t="shared" si="10"/>
        <v>0</v>
      </c>
      <c r="DZ7" s="21">
        <f t="shared" si="10"/>
        <v>0</v>
      </c>
      <c r="EA7" s="21">
        <f t="shared" si="10"/>
        <v>0</v>
      </c>
      <c r="EB7" s="21">
        <f t="shared" si="10"/>
        <v>1600</v>
      </c>
    </row>
    <row r="8" spans="1:137" ht="51" hidden="1" customHeight="1" x14ac:dyDescent="0.25">
      <c r="A8" s="167"/>
      <c r="B8" s="193"/>
      <c r="C8" s="17" t="s">
        <v>51</v>
      </c>
      <c r="D8" s="18" t="s">
        <v>52</v>
      </c>
      <c r="E8" s="19">
        <v>510</v>
      </c>
      <c r="F8" s="20" t="s">
        <v>53</v>
      </c>
      <c r="G8" s="21">
        <f t="shared" si="0"/>
        <v>41670990</v>
      </c>
      <c r="H8" s="22">
        <v>40000000</v>
      </c>
      <c r="I8" s="22">
        <f t="shared" ref="I8:I24" si="11">H8-G8</f>
        <v>-1670990</v>
      </c>
      <c r="J8" s="21"/>
      <c r="K8" s="21">
        <f>30000000+4970990</f>
        <v>34970990</v>
      </c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>
        <v>6700000</v>
      </c>
      <c r="AB8" s="21"/>
      <c r="AC8" s="21"/>
      <c r="AD8" s="21"/>
      <c r="AE8" s="21"/>
      <c r="AF8" s="21"/>
      <c r="AG8" s="23">
        <f t="shared" si="1"/>
        <v>0.57146067324054461</v>
      </c>
      <c r="AH8" s="21">
        <f t="shared" si="2"/>
        <v>23813332</v>
      </c>
      <c r="AI8" s="21"/>
      <c r="AJ8" s="21">
        <v>23813332</v>
      </c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3">
        <f t="shared" ref="BF8:BF71" si="12">1-AG8</f>
        <v>0.42853932675945539</v>
      </c>
      <c r="BG8" s="21">
        <f t="shared" si="3"/>
        <v>17857658</v>
      </c>
      <c r="BH8" s="21">
        <f t="shared" si="4"/>
        <v>0</v>
      </c>
      <c r="BI8" s="21">
        <f t="shared" si="4"/>
        <v>11157658</v>
      </c>
      <c r="BJ8" s="21">
        <f t="shared" si="4"/>
        <v>0</v>
      </c>
      <c r="BK8" s="21">
        <f t="shared" si="4"/>
        <v>0</v>
      </c>
      <c r="BL8" s="21">
        <f t="shared" si="4"/>
        <v>0</v>
      </c>
      <c r="BM8" s="21">
        <f t="shared" si="4"/>
        <v>0</v>
      </c>
      <c r="BN8" s="21">
        <f t="shared" si="4"/>
        <v>0</v>
      </c>
      <c r="BO8" s="21">
        <f t="shared" si="4"/>
        <v>0</v>
      </c>
      <c r="BP8" s="21">
        <f t="shared" si="4"/>
        <v>0</v>
      </c>
      <c r="BQ8" s="21">
        <f t="shared" si="4"/>
        <v>0</v>
      </c>
      <c r="BR8" s="21">
        <f t="shared" si="4"/>
        <v>0</v>
      </c>
      <c r="BS8" s="21">
        <f t="shared" si="4"/>
        <v>0</v>
      </c>
      <c r="BT8" s="21">
        <f t="shared" si="4"/>
        <v>0</v>
      </c>
      <c r="BU8" s="21">
        <f t="shared" si="4"/>
        <v>0</v>
      </c>
      <c r="BV8" s="21">
        <f t="shared" si="4"/>
        <v>0</v>
      </c>
      <c r="BW8" s="21">
        <f t="shared" si="4"/>
        <v>0</v>
      </c>
      <c r="BX8" s="21">
        <f t="shared" si="5"/>
        <v>0</v>
      </c>
      <c r="BY8" s="21">
        <f t="shared" si="5"/>
        <v>6700000</v>
      </c>
      <c r="BZ8" s="21">
        <f t="shared" si="5"/>
        <v>0</v>
      </c>
      <c r="CA8" s="21">
        <f t="shared" si="5"/>
        <v>0</v>
      </c>
      <c r="CB8" s="21">
        <f t="shared" si="5"/>
        <v>0</v>
      </c>
      <c r="CC8" s="21">
        <f t="shared" si="5"/>
        <v>0</v>
      </c>
      <c r="CD8" s="21">
        <f t="shared" si="5"/>
        <v>0</v>
      </c>
      <c r="CE8" s="23">
        <f t="shared" si="6"/>
        <v>0.57146067324054461</v>
      </c>
      <c r="CF8" s="21">
        <f t="shared" si="7"/>
        <v>23813332</v>
      </c>
      <c r="CG8" s="21"/>
      <c r="CH8" s="21">
        <v>23813332</v>
      </c>
      <c r="CI8" s="21"/>
      <c r="CJ8" s="21"/>
      <c r="CK8" s="21"/>
      <c r="CL8" s="21"/>
      <c r="CM8" s="21"/>
      <c r="CN8" s="21"/>
      <c r="CO8" s="21"/>
      <c r="CP8" s="21"/>
      <c r="CQ8" s="21"/>
      <c r="CR8" s="21"/>
      <c r="CS8" s="21"/>
      <c r="CT8" s="21"/>
      <c r="CU8" s="21"/>
      <c r="CV8" s="21"/>
      <c r="CW8" s="21"/>
      <c r="CX8" s="21"/>
      <c r="CY8" s="21"/>
      <c r="CZ8" s="21"/>
      <c r="DA8" s="21"/>
      <c r="DB8" s="21"/>
      <c r="DC8" s="21"/>
      <c r="DD8" s="23">
        <f t="shared" si="8"/>
        <v>0.42853932675945539</v>
      </c>
      <c r="DE8" s="21">
        <f t="shared" ref="DE8:DE24" si="13">SUM(DF8:EB8)</f>
        <v>17857658</v>
      </c>
      <c r="DF8" s="21">
        <f t="shared" si="9"/>
        <v>0</v>
      </c>
      <c r="DG8" s="21">
        <f t="shared" si="9"/>
        <v>11157658</v>
      </c>
      <c r="DH8" s="21">
        <f t="shared" si="9"/>
        <v>0</v>
      </c>
      <c r="DI8" s="21">
        <f t="shared" si="9"/>
        <v>0</v>
      </c>
      <c r="DJ8" s="21">
        <f t="shared" si="9"/>
        <v>0</v>
      </c>
      <c r="DK8" s="21">
        <f t="shared" si="9"/>
        <v>0</v>
      </c>
      <c r="DL8" s="21">
        <f t="shared" si="9"/>
        <v>0</v>
      </c>
      <c r="DM8" s="21">
        <f t="shared" si="9"/>
        <v>0</v>
      </c>
      <c r="DN8" s="21">
        <f t="shared" si="9"/>
        <v>0</v>
      </c>
      <c r="DO8" s="21">
        <f t="shared" si="9"/>
        <v>0</v>
      </c>
      <c r="DP8" s="21">
        <f t="shared" si="9"/>
        <v>0</v>
      </c>
      <c r="DQ8" s="21">
        <f t="shared" si="9"/>
        <v>0</v>
      </c>
      <c r="DR8" s="21">
        <f t="shared" si="9"/>
        <v>0</v>
      </c>
      <c r="DS8" s="21">
        <f t="shared" si="9"/>
        <v>0</v>
      </c>
      <c r="DT8" s="21">
        <f t="shared" si="9"/>
        <v>0</v>
      </c>
      <c r="DU8" s="21">
        <f t="shared" si="9"/>
        <v>0</v>
      </c>
      <c r="DV8" s="21">
        <f t="shared" si="10"/>
        <v>0</v>
      </c>
      <c r="DW8" s="21">
        <f t="shared" si="10"/>
        <v>6700000</v>
      </c>
      <c r="DX8" s="21">
        <f t="shared" si="10"/>
        <v>0</v>
      </c>
      <c r="DY8" s="21">
        <f t="shared" si="10"/>
        <v>0</v>
      </c>
      <c r="DZ8" s="21">
        <f t="shared" si="10"/>
        <v>0</v>
      </c>
      <c r="EA8" s="21">
        <f t="shared" si="10"/>
        <v>0</v>
      </c>
      <c r="EB8" s="21">
        <f t="shared" si="10"/>
        <v>0</v>
      </c>
    </row>
    <row r="9" spans="1:137" ht="60" hidden="1" customHeight="1" x14ac:dyDescent="0.25">
      <c r="A9" s="28"/>
      <c r="B9" s="188" t="s">
        <v>54</v>
      </c>
      <c r="C9" s="17" t="s">
        <v>55</v>
      </c>
      <c r="D9" s="29" t="s">
        <v>56</v>
      </c>
      <c r="E9" s="30">
        <v>510</v>
      </c>
      <c r="F9" s="31" t="s">
        <v>57</v>
      </c>
      <c r="G9" s="21">
        <f t="shared" si="0"/>
        <v>75740837</v>
      </c>
      <c r="H9" s="22">
        <v>15000000</v>
      </c>
      <c r="I9" s="22">
        <f t="shared" si="11"/>
        <v>-60740837</v>
      </c>
      <c r="J9" s="21"/>
      <c r="K9" s="21">
        <v>46336160</v>
      </c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>
        <v>18000000</v>
      </c>
      <c r="AA9" s="21"/>
      <c r="AB9" s="21"/>
      <c r="AC9" s="21"/>
      <c r="AD9" s="21"/>
      <c r="AE9" s="21"/>
      <c r="AF9" s="21">
        <v>11404677</v>
      </c>
      <c r="AG9" s="23">
        <f t="shared" si="1"/>
        <v>0.82034122490618899</v>
      </c>
      <c r="AH9" s="21">
        <f t="shared" si="2"/>
        <v>62133331</v>
      </c>
      <c r="AI9" s="21"/>
      <c r="AJ9" s="21">
        <f>+'[1]Acuerdo PLAN INVERSIÓN 2021'!$J$62</f>
        <v>45686160</v>
      </c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>
        <f>+'[1]Acuerdo PLAN INVERSIÓN 2021'!$AA$62</f>
        <v>16447171</v>
      </c>
      <c r="AZ9" s="21"/>
      <c r="BA9" s="21"/>
      <c r="BB9" s="21"/>
      <c r="BC9" s="21"/>
      <c r="BD9" s="21"/>
      <c r="BE9" s="21"/>
      <c r="BF9" s="23">
        <f t="shared" si="12"/>
        <v>0.17965877509381101</v>
      </c>
      <c r="BG9" s="21">
        <f t="shared" si="3"/>
        <v>13607506</v>
      </c>
      <c r="BH9" s="21">
        <f t="shared" si="4"/>
        <v>0</v>
      </c>
      <c r="BI9" s="21">
        <f t="shared" si="4"/>
        <v>650000</v>
      </c>
      <c r="BJ9" s="21">
        <f t="shared" si="4"/>
        <v>0</v>
      </c>
      <c r="BK9" s="21">
        <f t="shared" si="4"/>
        <v>0</v>
      </c>
      <c r="BL9" s="21">
        <f t="shared" si="4"/>
        <v>0</v>
      </c>
      <c r="BM9" s="21">
        <f t="shared" si="4"/>
        <v>0</v>
      </c>
      <c r="BN9" s="21">
        <f t="shared" si="4"/>
        <v>0</v>
      </c>
      <c r="BO9" s="21">
        <f t="shared" si="4"/>
        <v>0</v>
      </c>
      <c r="BP9" s="21">
        <f t="shared" si="4"/>
        <v>0</v>
      </c>
      <c r="BQ9" s="21">
        <f t="shared" si="4"/>
        <v>0</v>
      </c>
      <c r="BR9" s="21">
        <f t="shared" si="4"/>
        <v>0</v>
      </c>
      <c r="BS9" s="21">
        <f t="shared" si="4"/>
        <v>0</v>
      </c>
      <c r="BT9" s="21">
        <f t="shared" si="4"/>
        <v>0</v>
      </c>
      <c r="BU9" s="21">
        <f t="shared" si="4"/>
        <v>0</v>
      </c>
      <c r="BV9" s="21">
        <f t="shared" si="4"/>
        <v>0</v>
      </c>
      <c r="BW9" s="21">
        <f t="shared" si="4"/>
        <v>0</v>
      </c>
      <c r="BX9" s="21">
        <f t="shared" si="5"/>
        <v>1552829</v>
      </c>
      <c r="BY9" s="21">
        <f t="shared" si="5"/>
        <v>0</v>
      </c>
      <c r="BZ9" s="21">
        <f t="shared" si="5"/>
        <v>0</v>
      </c>
      <c r="CA9" s="21">
        <f t="shared" si="5"/>
        <v>0</v>
      </c>
      <c r="CB9" s="21">
        <f t="shared" si="5"/>
        <v>0</v>
      </c>
      <c r="CC9" s="21">
        <f t="shared" si="5"/>
        <v>0</v>
      </c>
      <c r="CD9" s="21">
        <f t="shared" si="5"/>
        <v>11404677</v>
      </c>
      <c r="CE9" s="23">
        <f t="shared" si="6"/>
        <v>0.82034122490618899</v>
      </c>
      <c r="CF9" s="21">
        <f t="shared" si="7"/>
        <v>62133331</v>
      </c>
      <c r="CG9" s="21"/>
      <c r="CH9" s="21">
        <f>+'[5]Acuerdo PLAN INVERSIÓN 2021'!$H$66+'[5]Acuerdo PLAN INVERSIÓN 2021'!$H$72+'[5]Acuerdo PLAN INVERSIÓN 2021'!$H$75</f>
        <v>45686160</v>
      </c>
      <c r="CI9" s="21"/>
      <c r="CJ9" s="21"/>
      <c r="CK9" s="21"/>
      <c r="CL9" s="21"/>
      <c r="CM9" s="21"/>
      <c r="CN9" s="21"/>
      <c r="CO9" s="21"/>
      <c r="CP9" s="21"/>
      <c r="CQ9" s="21"/>
      <c r="CR9" s="21"/>
      <c r="CS9" s="21"/>
      <c r="CT9" s="21"/>
      <c r="CU9" s="21"/>
      <c r="CV9" s="21"/>
      <c r="CW9" s="21">
        <f>+'[5]Acuerdo PLAN INVERSIÓN 2021'!$H$63+'[5]Acuerdo PLAN INVERSIÓN 2021'!$H$80</f>
        <v>16447171</v>
      </c>
      <c r="CX9" s="21"/>
      <c r="CY9" s="21"/>
      <c r="CZ9" s="21"/>
      <c r="DA9" s="21"/>
      <c r="DB9" s="21"/>
      <c r="DC9" s="21"/>
      <c r="DD9" s="23">
        <f t="shared" si="8"/>
        <v>0.17965877509381101</v>
      </c>
      <c r="DE9" s="21">
        <f t="shared" si="13"/>
        <v>13607506</v>
      </c>
      <c r="DF9" s="21">
        <f t="shared" si="9"/>
        <v>0</v>
      </c>
      <c r="DG9" s="21">
        <f t="shared" si="9"/>
        <v>650000</v>
      </c>
      <c r="DH9" s="21">
        <f t="shared" si="9"/>
        <v>0</v>
      </c>
      <c r="DI9" s="21">
        <f t="shared" si="9"/>
        <v>0</v>
      </c>
      <c r="DJ9" s="21">
        <f t="shared" si="9"/>
        <v>0</v>
      </c>
      <c r="DK9" s="21">
        <f t="shared" si="9"/>
        <v>0</v>
      </c>
      <c r="DL9" s="21">
        <f t="shared" si="9"/>
        <v>0</v>
      </c>
      <c r="DM9" s="21">
        <f t="shared" si="9"/>
        <v>0</v>
      </c>
      <c r="DN9" s="21">
        <f t="shared" si="9"/>
        <v>0</v>
      </c>
      <c r="DO9" s="21">
        <f t="shared" si="9"/>
        <v>0</v>
      </c>
      <c r="DP9" s="21">
        <f t="shared" si="9"/>
        <v>0</v>
      </c>
      <c r="DQ9" s="21">
        <f t="shared" si="9"/>
        <v>0</v>
      </c>
      <c r="DR9" s="21">
        <f t="shared" si="9"/>
        <v>0</v>
      </c>
      <c r="DS9" s="21">
        <f t="shared" si="9"/>
        <v>0</v>
      </c>
      <c r="DT9" s="21">
        <f t="shared" si="9"/>
        <v>0</v>
      </c>
      <c r="DU9" s="21">
        <f t="shared" si="9"/>
        <v>0</v>
      </c>
      <c r="DV9" s="21">
        <f t="shared" si="10"/>
        <v>1552829</v>
      </c>
      <c r="DW9" s="21">
        <f t="shared" si="10"/>
        <v>0</v>
      </c>
      <c r="DX9" s="21">
        <f t="shared" si="10"/>
        <v>0</v>
      </c>
      <c r="DY9" s="21">
        <f t="shared" si="10"/>
        <v>0</v>
      </c>
      <c r="DZ9" s="21">
        <f t="shared" si="10"/>
        <v>0</v>
      </c>
      <c r="EA9" s="21">
        <f t="shared" si="10"/>
        <v>0</v>
      </c>
      <c r="EB9" s="21">
        <f t="shared" si="10"/>
        <v>11404677</v>
      </c>
    </row>
    <row r="10" spans="1:137" ht="48" hidden="1" customHeight="1" x14ac:dyDescent="0.25">
      <c r="A10" s="28"/>
      <c r="B10" s="188"/>
      <c r="C10" s="17" t="s">
        <v>58</v>
      </c>
      <c r="D10" s="32" t="s">
        <v>59</v>
      </c>
      <c r="E10" s="19">
        <v>510</v>
      </c>
      <c r="F10" s="20" t="s">
        <v>60</v>
      </c>
      <c r="G10" s="21">
        <f t="shared" si="0"/>
        <v>65666667</v>
      </c>
      <c r="H10" s="22">
        <v>20000000</v>
      </c>
      <c r="I10" s="22">
        <f t="shared" si="11"/>
        <v>-45666667</v>
      </c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>
        <v>23000000</v>
      </c>
      <c r="AA10" s="21"/>
      <c r="AB10" s="21"/>
      <c r="AC10" s="21"/>
      <c r="AD10" s="21"/>
      <c r="AE10" s="21"/>
      <c r="AF10" s="21">
        <f>16000000+10000000+10000000+16666667-10000000</f>
        <v>42666667</v>
      </c>
      <c r="AG10" s="23">
        <f t="shared" si="1"/>
        <v>0.5431472104408771</v>
      </c>
      <c r="AH10" s="21">
        <f t="shared" si="2"/>
        <v>35666667</v>
      </c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>
        <f>+'[1]Acuerdo PLAN INVERSIÓN 2021'!$AA$87</f>
        <v>5000000</v>
      </c>
      <c r="AZ10" s="21"/>
      <c r="BA10" s="21"/>
      <c r="BB10" s="21"/>
      <c r="BC10" s="21"/>
      <c r="BD10" s="21"/>
      <c r="BE10" s="21">
        <f>+'[1]Acuerdo PLAN INVERSIÓN 2021'!$AF$87</f>
        <v>30666667</v>
      </c>
      <c r="BF10" s="23">
        <f t="shared" si="12"/>
        <v>0.4568527895591229</v>
      </c>
      <c r="BG10" s="21">
        <f t="shared" si="3"/>
        <v>30000000</v>
      </c>
      <c r="BH10" s="21">
        <f t="shared" si="4"/>
        <v>0</v>
      </c>
      <c r="BI10" s="21">
        <f t="shared" si="4"/>
        <v>0</v>
      </c>
      <c r="BJ10" s="21">
        <f t="shared" si="4"/>
        <v>0</v>
      </c>
      <c r="BK10" s="21">
        <f t="shared" si="4"/>
        <v>0</v>
      </c>
      <c r="BL10" s="21">
        <f t="shared" si="4"/>
        <v>0</v>
      </c>
      <c r="BM10" s="21">
        <f t="shared" si="4"/>
        <v>0</v>
      </c>
      <c r="BN10" s="21">
        <f t="shared" si="4"/>
        <v>0</v>
      </c>
      <c r="BO10" s="21">
        <f t="shared" si="4"/>
        <v>0</v>
      </c>
      <c r="BP10" s="21">
        <f t="shared" si="4"/>
        <v>0</v>
      </c>
      <c r="BQ10" s="21">
        <f t="shared" si="4"/>
        <v>0</v>
      </c>
      <c r="BR10" s="21">
        <f t="shared" si="4"/>
        <v>0</v>
      </c>
      <c r="BS10" s="21">
        <f t="shared" si="4"/>
        <v>0</v>
      </c>
      <c r="BT10" s="21">
        <f t="shared" si="4"/>
        <v>0</v>
      </c>
      <c r="BU10" s="21">
        <f t="shared" si="4"/>
        <v>0</v>
      </c>
      <c r="BV10" s="21">
        <f t="shared" si="4"/>
        <v>0</v>
      </c>
      <c r="BW10" s="21">
        <f t="shared" si="4"/>
        <v>0</v>
      </c>
      <c r="BX10" s="21">
        <f t="shared" si="5"/>
        <v>18000000</v>
      </c>
      <c r="BY10" s="21">
        <f t="shared" si="5"/>
        <v>0</v>
      </c>
      <c r="BZ10" s="21">
        <f t="shared" si="5"/>
        <v>0</v>
      </c>
      <c r="CA10" s="21">
        <f t="shared" si="5"/>
        <v>0</v>
      </c>
      <c r="CB10" s="21">
        <f t="shared" si="5"/>
        <v>0</v>
      </c>
      <c r="CC10" s="21">
        <f t="shared" si="5"/>
        <v>0</v>
      </c>
      <c r="CD10" s="21">
        <f t="shared" si="5"/>
        <v>12000000</v>
      </c>
      <c r="CE10" s="23">
        <f t="shared" si="6"/>
        <v>0.5431472104408771</v>
      </c>
      <c r="CF10" s="21">
        <f t="shared" si="7"/>
        <v>35666667</v>
      </c>
      <c r="CG10" s="21"/>
      <c r="CH10" s="21"/>
      <c r="CI10" s="21"/>
      <c r="CJ10" s="21"/>
      <c r="CK10" s="21"/>
      <c r="CL10" s="21"/>
      <c r="CM10" s="21"/>
      <c r="CN10" s="21"/>
      <c r="CO10" s="21"/>
      <c r="CP10" s="21"/>
      <c r="CQ10" s="21"/>
      <c r="CR10" s="21"/>
      <c r="CS10" s="21"/>
      <c r="CT10" s="21"/>
      <c r="CU10" s="21"/>
      <c r="CV10" s="21"/>
      <c r="CW10" s="21">
        <f>+'[5]Acuerdo PLAN INVERSIÓN 2021'!$H$94</f>
        <v>5000000</v>
      </c>
      <c r="CX10" s="21"/>
      <c r="CY10" s="21"/>
      <c r="CZ10" s="21"/>
      <c r="DA10" s="21"/>
      <c r="DB10" s="21"/>
      <c r="DC10" s="21">
        <f>+'[1]Acuerdo PLAN INVERSIÓN 2021'!$AF$87</f>
        <v>30666667</v>
      </c>
      <c r="DD10" s="23">
        <f t="shared" si="8"/>
        <v>0.4568527895591229</v>
      </c>
      <c r="DE10" s="21">
        <f t="shared" si="13"/>
        <v>30000000</v>
      </c>
      <c r="DF10" s="21">
        <f t="shared" si="9"/>
        <v>0</v>
      </c>
      <c r="DG10" s="21">
        <f t="shared" si="9"/>
        <v>0</v>
      </c>
      <c r="DH10" s="21">
        <f t="shared" si="9"/>
        <v>0</v>
      </c>
      <c r="DI10" s="21">
        <f t="shared" si="9"/>
        <v>0</v>
      </c>
      <c r="DJ10" s="21">
        <f t="shared" si="9"/>
        <v>0</v>
      </c>
      <c r="DK10" s="21">
        <f t="shared" si="9"/>
        <v>0</v>
      </c>
      <c r="DL10" s="21">
        <f t="shared" si="9"/>
        <v>0</v>
      </c>
      <c r="DM10" s="21">
        <f t="shared" si="9"/>
        <v>0</v>
      </c>
      <c r="DN10" s="21">
        <f t="shared" si="9"/>
        <v>0</v>
      </c>
      <c r="DO10" s="21">
        <f t="shared" si="9"/>
        <v>0</v>
      </c>
      <c r="DP10" s="21">
        <f t="shared" si="9"/>
        <v>0</v>
      </c>
      <c r="DQ10" s="21">
        <f t="shared" si="9"/>
        <v>0</v>
      </c>
      <c r="DR10" s="21">
        <f t="shared" si="9"/>
        <v>0</v>
      </c>
      <c r="DS10" s="21">
        <f t="shared" si="9"/>
        <v>0</v>
      </c>
      <c r="DT10" s="21">
        <f t="shared" si="9"/>
        <v>0</v>
      </c>
      <c r="DU10" s="21">
        <f t="shared" si="9"/>
        <v>0</v>
      </c>
      <c r="DV10" s="21">
        <f t="shared" si="10"/>
        <v>18000000</v>
      </c>
      <c r="DW10" s="21">
        <f t="shared" si="10"/>
        <v>0</v>
      </c>
      <c r="DX10" s="21">
        <f t="shared" si="10"/>
        <v>0</v>
      </c>
      <c r="DY10" s="21">
        <f t="shared" si="10"/>
        <v>0</v>
      </c>
      <c r="DZ10" s="21">
        <f t="shared" si="10"/>
        <v>0</v>
      </c>
      <c r="EA10" s="21">
        <f t="shared" si="10"/>
        <v>0</v>
      </c>
      <c r="EB10" s="21">
        <f t="shared" si="10"/>
        <v>12000000</v>
      </c>
    </row>
    <row r="11" spans="1:137" ht="37.5" hidden="1" customHeight="1" x14ac:dyDescent="0.25">
      <c r="A11" s="28"/>
      <c r="B11" s="188"/>
      <c r="C11" s="17" t="s">
        <v>61</v>
      </c>
      <c r="D11" s="18" t="s">
        <v>62</v>
      </c>
      <c r="E11" s="19">
        <v>510</v>
      </c>
      <c r="F11" s="20" t="s">
        <v>63</v>
      </c>
      <c r="G11" s="21">
        <f t="shared" si="0"/>
        <v>424000000</v>
      </c>
      <c r="H11" s="22">
        <v>28600000</v>
      </c>
      <c r="I11" s="22">
        <f t="shared" si="11"/>
        <v>-395400000</v>
      </c>
      <c r="J11" s="21"/>
      <c r="K11" s="21"/>
      <c r="L11" s="21"/>
      <c r="M11" s="21">
        <v>114000000</v>
      </c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>
        <v>10000000</v>
      </c>
      <c r="AA11" s="21"/>
      <c r="AB11" s="21"/>
      <c r="AC11" s="21"/>
      <c r="AD11" s="21"/>
      <c r="AE11" s="21">
        <v>300000000</v>
      </c>
      <c r="AF11" s="21"/>
      <c r="AG11" s="23">
        <f t="shared" si="1"/>
        <v>0</v>
      </c>
      <c r="AH11" s="21">
        <f t="shared" si="2"/>
        <v>0</v>
      </c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3">
        <f t="shared" si="12"/>
        <v>1</v>
      </c>
      <c r="BG11" s="21">
        <f t="shared" si="3"/>
        <v>424000000</v>
      </c>
      <c r="BH11" s="21">
        <f t="shared" si="4"/>
        <v>0</v>
      </c>
      <c r="BI11" s="21">
        <f t="shared" si="4"/>
        <v>0</v>
      </c>
      <c r="BJ11" s="21">
        <f t="shared" si="4"/>
        <v>0</v>
      </c>
      <c r="BK11" s="21">
        <f t="shared" si="4"/>
        <v>114000000</v>
      </c>
      <c r="BL11" s="21">
        <f t="shared" si="4"/>
        <v>0</v>
      </c>
      <c r="BM11" s="21">
        <f t="shared" si="4"/>
        <v>0</v>
      </c>
      <c r="BN11" s="21">
        <f t="shared" si="4"/>
        <v>0</v>
      </c>
      <c r="BO11" s="21">
        <f t="shared" si="4"/>
        <v>0</v>
      </c>
      <c r="BP11" s="21">
        <f t="shared" si="4"/>
        <v>0</v>
      </c>
      <c r="BQ11" s="21">
        <f t="shared" si="4"/>
        <v>0</v>
      </c>
      <c r="BR11" s="21">
        <f t="shared" si="4"/>
        <v>0</v>
      </c>
      <c r="BS11" s="21">
        <f t="shared" si="4"/>
        <v>0</v>
      </c>
      <c r="BT11" s="21">
        <f t="shared" si="4"/>
        <v>0</v>
      </c>
      <c r="BU11" s="21">
        <f t="shared" si="4"/>
        <v>0</v>
      </c>
      <c r="BV11" s="21">
        <f t="shared" si="4"/>
        <v>0</v>
      </c>
      <c r="BW11" s="21">
        <f t="shared" si="4"/>
        <v>0</v>
      </c>
      <c r="BX11" s="21">
        <f t="shared" si="5"/>
        <v>10000000</v>
      </c>
      <c r="BY11" s="21">
        <f t="shared" si="5"/>
        <v>0</v>
      </c>
      <c r="BZ11" s="21">
        <f t="shared" si="5"/>
        <v>0</v>
      </c>
      <c r="CA11" s="21">
        <f t="shared" si="5"/>
        <v>0</v>
      </c>
      <c r="CB11" s="21">
        <f t="shared" si="5"/>
        <v>0</v>
      </c>
      <c r="CC11" s="21">
        <f t="shared" si="5"/>
        <v>300000000</v>
      </c>
      <c r="CD11" s="21">
        <f t="shared" si="5"/>
        <v>0</v>
      </c>
      <c r="CE11" s="23">
        <f t="shared" si="6"/>
        <v>0</v>
      </c>
      <c r="CF11" s="21">
        <f t="shared" si="7"/>
        <v>0</v>
      </c>
      <c r="CG11" s="21"/>
      <c r="CH11" s="21"/>
      <c r="CI11" s="21"/>
      <c r="CJ11" s="21"/>
      <c r="CK11" s="21"/>
      <c r="CL11" s="21"/>
      <c r="CM11" s="21"/>
      <c r="CN11" s="21"/>
      <c r="CO11" s="21"/>
      <c r="CP11" s="21"/>
      <c r="CQ11" s="21"/>
      <c r="CR11" s="21"/>
      <c r="CS11" s="21"/>
      <c r="CT11" s="21"/>
      <c r="CU11" s="21"/>
      <c r="CV11" s="21"/>
      <c r="CW11" s="21"/>
      <c r="CX11" s="21"/>
      <c r="CY11" s="21"/>
      <c r="CZ11" s="21"/>
      <c r="DA11" s="21"/>
      <c r="DB11" s="21"/>
      <c r="DC11" s="21"/>
      <c r="DD11" s="23">
        <f t="shared" si="8"/>
        <v>1</v>
      </c>
      <c r="DE11" s="21">
        <f t="shared" si="13"/>
        <v>424000000</v>
      </c>
      <c r="DF11" s="21">
        <f t="shared" si="9"/>
        <v>0</v>
      </c>
      <c r="DG11" s="21">
        <f t="shared" si="9"/>
        <v>0</v>
      </c>
      <c r="DH11" s="21">
        <f t="shared" si="9"/>
        <v>0</v>
      </c>
      <c r="DI11" s="21">
        <f t="shared" si="9"/>
        <v>114000000</v>
      </c>
      <c r="DJ11" s="21">
        <f t="shared" si="9"/>
        <v>0</v>
      </c>
      <c r="DK11" s="21">
        <f t="shared" si="9"/>
        <v>0</v>
      </c>
      <c r="DL11" s="21">
        <f t="shared" si="9"/>
        <v>0</v>
      </c>
      <c r="DM11" s="21">
        <f t="shared" si="9"/>
        <v>0</v>
      </c>
      <c r="DN11" s="21">
        <f t="shared" si="9"/>
        <v>0</v>
      </c>
      <c r="DO11" s="21">
        <f t="shared" si="9"/>
        <v>0</v>
      </c>
      <c r="DP11" s="21">
        <f t="shared" si="9"/>
        <v>0</v>
      </c>
      <c r="DQ11" s="21">
        <f t="shared" si="9"/>
        <v>0</v>
      </c>
      <c r="DR11" s="21">
        <f t="shared" si="9"/>
        <v>0</v>
      </c>
      <c r="DS11" s="21">
        <f t="shared" si="9"/>
        <v>0</v>
      </c>
      <c r="DT11" s="21">
        <f t="shared" si="9"/>
        <v>0</v>
      </c>
      <c r="DU11" s="21">
        <f t="shared" si="9"/>
        <v>0</v>
      </c>
      <c r="DV11" s="21">
        <f t="shared" si="10"/>
        <v>10000000</v>
      </c>
      <c r="DW11" s="21">
        <f t="shared" si="10"/>
        <v>0</v>
      </c>
      <c r="DX11" s="21">
        <f t="shared" si="10"/>
        <v>0</v>
      </c>
      <c r="DY11" s="21">
        <f t="shared" si="10"/>
        <v>0</v>
      </c>
      <c r="DZ11" s="21">
        <f t="shared" si="10"/>
        <v>0</v>
      </c>
      <c r="EA11" s="21">
        <f t="shared" si="10"/>
        <v>300000000</v>
      </c>
      <c r="EB11" s="21">
        <f t="shared" si="10"/>
        <v>0</v>
      </c>
    </row>
    <row r="12" spans="1:137" ht="31.5" hidden="1" customHeight="1" x14ac:dyDescent="0.25">
      <c r="A12" s="28"/>
      <c r="B12" s="188"/>
      <c r="C12" s="17" t="s">
        <v>64</v>
      </c>
      <c r="D12" s="18" t="s">
        <v>65</v>
      </c>
      <c r="E12" s="19">
        <v>510</v>
      </c>
      <c r="F12" s="20" t="s">
        <v>63</v>
      </c>
      <c r="G12" s="21">
        <f t="shared" si="0"/>
        <v>132908964</v>
      </c>
      <c r="H12" s="22">
        <v>45000000</v>
      </c>
      <c r="I12" s="22">
        <f t="shared" si="11"/>
        <v>-87908964</v>
      </c>
      <c r="J12" s="21"/>
      <c r="K12" s="21">
        <f>301000</f>
        <v>301000</v>
      </c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>
        <v>10000000</v>
      </c>
      <c r="AA12" s="21"/>
      <c r="AB12" s="21"/>
      <c r="AC12" s="21"/>
      <c r="AD12" s="21"/>
      <c r="AE12" s="21">
        <f>122607964</f>
        <v>122607964</v>
      </c>
      <c r="AF12" s="21"/>
      <c r="AG12" s="23">
        <f t="shared" si="1"/>
        <v>0</v>
      </c>
      <c r="AH12" s="21">
        <f t="shared" si="2"/>
        <v>0</v>
      </c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3">
        <f t="shared" si="12"/>
        <v>1</v>
      </c>
      <c r="BG12" s="21">
        <f t="shared" si="3"/>
        <v>132908964</v>
      </c>
      <c r="BH12" s="21">
        <f t="shared" si="4"/>
        <v>0</v>
      </c>
      <c r="BI12" s="21">
        <f t="shared" si="4"/>
        <v>301000</v>
      </c>
      <c r="BJ12" s="21">
        <f t="shared" si="4"/>
        <v>0</v>
      </c>
      <c r="BK12" s="21">
        <f t="shared" si="4"/>
        <v>0</v>
      </c>
      <c r="BL12" s="21">
        <f t="shared" si="4"/>
        <v>0</v>
      </c>
      <c r="BM12" s="21">
        <f t="shared" si="4"/>
        <v>0</v>
      </c>
      <c r="BN12" s="21">
        <f t="shared" si="4"/>
        <v>0</v>
      </c>
      <c r="BO12" s="21">
        <f t="shared" si="4"/>
        <v>0</v>
      </c>
      <c r="BP12" s="21">
        <f t="shared" si="4"/>
        <v>0</v>
      </c>
      <c r="BQ12" s="21">
        <f t="shared" si="4"/>
        <v>0</v>
      </c>
      <c r="BR12" s="21">
        <f t="shared" si="4"/>
        <v>0</v>
      </c>
      <c r="BS12" s="21">
        <f t="shared" si="4"/>
        <v>0</v>
      </c>
      <c r="BT12" s="21">
        <f t="shared" si="4"/>
        <v>0</v>
      </c>
      <c r="BU12" s="21">
        <f t="shared" si="4"/>
        <v>0</v>
      </c>
      <c r="BV12" s="21">
        <f t="shared" si="4"/>
        <v>0</v>
      </c>
      <c r="BW12" s="21">
        <f t="shared" si="4"/>
        <v>0</v>
      </c>
      <c r="BX12" s="21">
        <f t="shared" si="5"/>
        <v>10000000</v>
      </c>
      <c r="BY12" s="21">
        <f t="shared" si="5"/>
        <v>0</v>
      </c>
      <c r="BZ12" s="21">
        <f t="shared" si="5"/>
        <v>0</v>
      </c>
      <c r="CA12" s="21">
        <f t="shared" si="5"/>
        <v>0</v>
      </c>
      <c r="CB12" s="21">
        <f t="shared" si="5"/>
        <v>0</v>
      </c>
      <c r="CC12" s="21">
        <f t="shared" si="5"/>
        <v>122607964</v>
      </c>
      <c r="CD12" s="21">
        <f t="shared" si="5"/>
        <v>0</v>
      </c>
      <c r="CE12" s="23">
        <f t="shared" si="6"/>
        <v>0</v>
      </c>
      <c r="CF12" s="21">
        <f t="shared" si="7"/>
        <v>0</v>
      </c>
      <c r="CG12" s="21"/>
      <c r="CH12" s="21"/>
      <c r="CI12" s="21"/>
      <c r="CJ12" s="21"/>
      <c r="CK12" s="21"/>
      <c r="CL12" s="21"/>
      <c r="CM12" s="21"/>
      <c r="CN12" s="21"/>
      <c r="CO12" s="21"/>
      <c r="CP12" s="21"/>
      <c r="CQ12" s="21"/>
      <c r="CR12" s="21"/>
      <c r="CS12" s="21"/>
      <c r="CT12" s="21"/>
      <c r="CU12" s="21"/>
      <c r="CV12" s="21"/>
      <c r="CW12" s="21"/>
      <c r="CX12" s="21"/>
      <c r="CY12" s="21"/>
      <c r="CZ12" s="21"/>
      <c r="DA12" s="21"/>
      <c r="DB12" s="21"/>
      <c r="DC12" s="21"/>
      <c r="DD12" s="23">
        <f t="shared" si="8"/>
        <v>1</v>
      </c>
      <c r="DE12" s="21">
        <f t="shared" si="13"/>
        <v>132908964</v>
      </c>
      <c r="DF12" s="21">
        <f t="shared" si="9"/>
        <v>0</v>
      </c>
      <c r="DG12" s="21">
        <f t="shared" si="9"/>
        <v>301000</v>
      </c>
      <c r="DH12" s="21">
        <f t="shared" si="9"/>
        <v>0</v>
      </c>
      <c r="DI12" s="21">
        <f t="shared" si="9"/>
        <v>0</v>
      </c>
      <c r="DJ12" s="21">
        <f t="shared" si="9"/>
        <v>0</v>
      </c>
      <c r="DK12" s="21">
        <f t="shared" si="9"/>
        <v>0</v>
      </c>
      <c r="DL12" s="21">
        <f t="shared" si="9"/>
        <v>0</v>
      </c>
      <c r="DM12" s="21">
        <f t="shared" si="9"/>
        <v>0</v>
      </c>
      <c r="DN12" s="21">
        <f t="shared" si="9"/>
        <v>0</v>
      </c>
      <c r="DO12" s="21">
        <f t="shared" si="9"/>
        <v>0</v>
      </c>
      <c r="DP12" s="21">
        <f t="shared" si="9"/>
        <v>0</v>
      </c>
      <c r="DQ12" s="21">
        <f t="shared" si="9"/>
        <v>0</v>
      </c>
      <c r="DR12" s="21">
        <f t="shared" si="9"/>
        <v>0</v>
      </c>
      <c r="DS12" s="21">
        <f t="shared" si="9"/>
        <v>0</v>
      </c>
      <c r="DT12" s="21">
        <f t="shared" si="9"/>
        <v>0</v>
      </c>
      <c r="DU12" s="21">
        <f t="shared" si="9"/>
        <v>0</v>
      </c>
      <c r="DV12" s="21">
        <f t="shared" si="10"/>
        <v>10000000</v>
      </c>
      <c r="DW12" s="21">
        <f t="shared" si="10"/>
        <v>0</v>
      </c>
      <c r="DX12" s="21">
        <f t="shared" si="10"/>
        <v>0</v>
      </c>
      <c r="DY12" s="21">
        <f t="shared" si="10"/>
        <v>0</v>
      </c>
      <c r="DZ12" s="21">
        <f t="shared" si="10"/>
        <v>0</v>
      </c>
      <c r="EA12" s="21">
        <f t="shared" si="10"/>
        <v>122607964</v>
      </c>
      <c r="EB12" s="21">
        <f t="shared" si="10"/>
        <v>0</v>
      </c>
    </row>
    <row r="13" spans="1:137" ht="20.399999999999999" hidden="1" customHeight="1" x14ac:dyDescent="0.25">
      <c r="A13" s="28"/>
      <c r="B13" s="189" t="s">
        <v>66</v>
      </c>
      <c r="C13" s="33" t="s">
        <v>67</v>
      </c>
      <c r="D13" s="18" t="s">
        <v>68</v>
      </c>
      <c r="E13" s="19">
        <v>310</v>
      </c>
      <c r="F13" s="20" t="s">
        <v>63</v>
      </c>
      <c r="G13" s="21">
        <f t="shared" si="0"/>
        <v>0</v>
      </c>
      <c r="H13" s="22">
        <v>15000000</v>
      </c>
      <c r="I13" s="22">
        <f t="shared" si="11"/>
        <v>15000000</v>
      </c>
      <c r="J13" s="21"/>
      <c r="K13" s="21"/>
      <c r="L13" s="21"/>
      <c r="M13" s="21">
        <f>150000000-150000000</f>
        <v>0</v>
      </c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3" t="e">
        <f t="shared" si="1"/>
        <v>#DIV/0!</v>
      </c>
      <c r="AH13" s="21">
        <f t="shared" si="2"/>
        <v>0</v>
      </c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3" t="e">
        <f t="shared" si="12"/>
        <v>#DIV/0!</v>
      </c>
      <c r="BG13" s="21">
        <f t="shared" si="3"/>
        <v>0</v>
      </c>
      <c r="BH13" s="21">
        <f t="shared" si="4"/>
        <v>0</v>
      </c>
      <c r="BI13" s="21">
        <f t="shared" si="4"/>
        <v>0</v>
      </c>
      <c r="BJ13" s="21">
        <f t="shared" si="4"/>
        <v>0</v>
      </c>
      <c r="BK13" s="21">
        <f t="shared" si="4"/>
        <v>0</v>
      </c>
      <c r="BL13" s="21">
        <f t="shared" si="4"/>
        <v>0</v>
      </c>
      <c r="BM13" s="21">
        <f t="shared" si="4"/>
        <v>0</v>
      </c>
      <c r="BN13" s="21">
        <f t="shared" si="4"/>
        <v>0</v>
      </c>
      <c r="BO13" s="21">
        <f t="shared" si="4"/>
        <v>0</v>
      </c>
      <c r="BP13" s="21">
        <f t="shared" si="4"/>
        <v>0</v>
      </c>
      <c r="BQ13" s="21">
        <f t="shared" si="4"/>
        <v>0</v>
      </c>
      <c r="BR13" s="21">
        <f t="shared" si="4"/>
        <v>0</v>
      </c>
      <c r="BS13" s="21">
        <f t="shared" si="4"/>
        <v>0</v>
      </c>
      <c r="BT13" s="21">
        <f t="shared" si="4"/>
        <v>0</v>
      </c>
      <c r="BU13" s="21">
        <f t="shared" si="4"/>
        <v>0</v>
      </c>
      <c r="BV13" s="21">
        <f t="shared" si="4"/>
        <v>0</v>
      </c>
      <c r="BW13" s="21">
        <f t="shared" si="4"/>
        <v>0</v>
      </c>
      <c r="BX13" s="21">
        <f t="shared" si="5"/>
        <v>0</v>
      </c>
      <c r="BY13" s="21">
        <f t="shared" si="5"/>
        <v>0</v>
      </c>
      <c r="BZ13" s="21">
        <f t="shared" si="5"/>
        <v>0</v>
      </c>
      <c r="CA13" s="21">
        <f t="shared" si="5"/>
        <v>0</v>
      </c>
      <c r="CB13" s="21">
        <f t="shared" si="5"/>
        <v>0</v>
      </c>
      <c r="CC13" s="21">
        <f t="shared" si="5"/>
        <v>0</v>
      </c>
      <c r="CD13" s="21">
        <f t="shared" si="5"/>
        <v>0</v>
      </c>
      <c r="CE13" s="23" t="e">
        <f t="shared" si="6"/>
        <v>#DIV/0!</v>
      </c>
      <c r="CF13" s="21">
        <f t="shared" si="7"/>
        <v>0</v>
      </c>
      <c r="CG13" s="21"/>
      <c r="CH13" s="21"/>
      <c r="CI13" s="21"/>
      <c r="CJ13" s="21"/>
      <c r="CK13" s="21"/>
      <c r="CL13" s="21"/>
      <c r="CM13" s="21"/>
      <c r="CN13" s="21"/>
      <c r="CO13" s="21"/>
      <c r="CP13" s="21"/>
      <c r="CQ13" s="21"/>
      <c r="CR13" s="21"/>
      <c r="CS13" s="21"/>
      <c r="CT13" s="21"/>
      <c r="CU13" s="21"/>
      <c r="CV13" s="21"/>
      <c r="CW13" s="21"/>
      <c r="CX13" s="21"/>
      <c r="CY13" s="21"/>
      <c r="CZ13" s="21"/>
      <c r="DA13" s="21"/>
      <c r="DB13" s="21"/>
      <c r="DC13" s="21"/>
      <c r="DD13" s="23" t="e">
        <f t="shared" si="8"/>
        <v>#DIV/0!</v>
      </c>
      <c r="DE13" s="21">
        <f t="shared" si="13"/>
        <v>0</v>
      </c>
      <c r="DF13" s="21">
        <f t="shared" si="9"/>
        <v>0</v>
      </c>
      <c r="DG13" s="21">
        <f t="shared" si="9"/>
        <v>0</v>
      </c>
      <c r="DH13" s="21">
        <f t="shared" si="9"/>
        <v>0</v>
      </c>
      <c r="DI13" s="21">
        <f t="shared" si="9"/>
        <v>0</v>
      </c>
      <c r="DJ13" s="21">
        <f t="shared" si="9"/>
        <v>0</v>
      </c>
      <c r="DK13" s="21">
        <f t="shared" si="9"/>
        <v>0</v>
      </c>
      <c r="DL13" s="21">
        <f t="shared" si="9"/>
        <v>0</v>
      </c>
      <c r="DM13" s="21">
        <f t="shared" si="9"/>
        <v>0</v>
      </c>
      <c r="DN13" s="21">
        <f t="shared" si="9"/>
        <v>0</v>
      </c>
      <c r="DO13" s="21">
        <f t="shared" si="9"/>
        <v>0</v>
      </c>
      <c r="DP13" s="21">
        <f t="shared" si="9"/>
        <v>0</v>
      </c>
      <c r="DQ13" s="21">
        <f t="shared" si="9"/>
        <v>0</v>
      </c>
      <c r="DR13" s="21">
        <f t="shared" si="9"/>
        <v>0</v>
      </c>
      <c r="DS13" s="21">
        <f t="shared" si="9"/>
        <v>0</v>
      </c>
      <c r="DT13" s="21">
        <f t="shared" si="9"/>
        <v>0</v>
      </c>
      <c r="DU13" s="21">
        <f t="shared" si="9"/>
        <v>0</v>
      </c>
      <c r="DV13" s="21">
        <f t="shared" si="10"/>
        <v>0</v>
      </c>
      <c r="DW13" s="21">
        <f t="shared" si="10"/>
        <v>0</v>
      </c>
      <c r="DX13" s="21">
        <f t="shared" si="10"/>
        <v>0</v>
      </c>
      <c r="DY13" s="21">
        <f t="shared" si="10"/>
        <v>0</v>
      </c>
      <c r="DZ13" s="21">
        <f t="shared" si="10"/>
        <v>0</v>
      </c>
      <c r="EA13" s="21">
        <f t="shared" si="10"/>
        <v>0</v>
      </c>
      <c r="EB13" s="21">
        <f t="shared" si="10"/>
        <v>0</v>
      </c>
    </row>
    <row r="14" spans="1:137" ht="22.5" hidden="1" customHeight="1" x14ac:dyDescent="0.25">
      <c r="A14" s="28"/>
      <c r="B14" s="190"/>
      <c r="C14" s="33" t="s">
        <v>69</v>
      </c>
      <c r="D14" s="29" t="s">
        <v>70</v>
      </c>
      <c r="E14" s="19">
        <v>310</v>
      </c>
      <c r="F14" s="20" t="s">
        <v>63</v>
      </c>
      <c r="G14" s="21">
        <f t="shared" si="0"/>
        <v>717909418</v>
      </c>
      <c r="H14" s="22">
        <v>1329277636</v>
      </c>
      <c r="I14" s="22">
        <f t="shared" si="11"/>
        <v>611368218</v>
      </c>
      <c r="J14" s="21"/>
      <c r="K14" s="21">
        <v>100000000</v>
      </c>
      <c r="L14" s="21"/>
      <c r="M14" s="21">
        <f>328050814+150000000</f>
        <v>478050814</v>
      </c>
      <c r="N14" s="21"/>
      <c r="O14" s="21"/>
      <c r="P14" s="21"/>
      <c r="Q14" s="21"/>
      <c r="R14" s="21"/>
      <c r="S14" s="21"/>
      <c r="T14" s="21"/>
      <c r="U14" s="21">
        <f>21358604</f>
        <v>21358604</v>
      </c>
      <c r="V14" s="21"/>
      <c r="W14" s="21"/>
      <c r="X14" s="21"/>
      <c r="Y14" s="21"/>
      <c r="Z14" s="21">
        <v>100000000</v>
      </c>
      <c r="AA14" s="21"/>
      <c r="AB14" s="21"/>
      <c r="AC14" s="21"/>
      <c r="AD14" s="21"/>
      <c r="AE14" s="21"/>
      <c r="AF14" s="21">
        <f>15000000+8000000-4500000</f>
        <v>18500000</v>
      </c>
      <c r="AG14" s="23">
        <f t="shared" si="1"/>
        <v>0.85318775272007918</v>
      </c>
      <c r="AH14" s="21">
        <f t="shared" si="2"/>
        <v>612511523</v>
      </c>
      <c r="AI14" s="21"/>
      <c r="AJ14" s="21">
        <f>+'[1]Acuerdo PLAN INVERSIÓN 2021'!$J$138</f>
        <v>69265745</v>
      </c>
      <c r="AK14" s="21"/>
      <c r="AL14" s="21">
        <f>+'[1]Acuerdo PLAN INVERSIÓN 2021'!$M$138</f>
        <v>447284183</v>
      </c>
      <c r="AM14" s="21"/>
      <c r="AN14" s="21"/>
      <c r="AO14" s="21"/>
      <c r="AP14" s="21"/>
      <c r="AQ14" s="21"/>
      <c r="AR14" s="21"/>
      <c r="AS14" s="21"/>
      <c r="AT14" s="21">
        <f>+'[1]Acuerdo PLAN INVERSIÓN 2021'!$O$138</f>
        <v>18174807</v>
      </c>
      <c r="AU14" s="21"/>
      <c r="AV14" s="21"/>
      <c r="AW14" s="21"/>
      <c r="AX14" s="21"/>
      <c r="AY14" s="21">
        <f>+'[1]Acuerdo PLAN INVERSIÓN 2021'!$AA$138</f>
        <v>59286788</v>
      </c>
      <c r="AZ14" s="21"/>
      <c r="BA14" s="21"/>
      <c r="BB14" s="21"/>
      <c r="BC14" s="21"/>
      <c r="BD14" s="21"/>
      <c r="BE14" s="21">
        <f>+'[6]Acuerdo PLAN INVERSIÓN 2021'!$AF$86+'[7]Acuerdo PLAN INVERSIÓN 2021'!$G$154</f>
        <v>18500000</v>
      </c>
      <c r="BF14" s="23">
        <f t="shared" si="12"/>
        <v>0.14681224727992082</v>
      </c>
      <c r="BG14" s="21">
        <f t="shared" si="3"/>
        <v>105397895</v>
      </c>
      <c r="BH14" s="21">
        <f t="shared" si="4"/>
        <v>0</v>
      </c>
      <c r="BI14" s="21">
        <f t="shared" si="4"/>
        <v>30734255</v>
      </c>
      <c r="BJ14" s="21">
        <f t="shared" si="4"/>
        <v>0</v>
      </c>
      <c r="BK14" s="21">
        <f t="shared" si="4"/>
        <v>30766631</v>
      </c>
      <c r="BL14" s="21">
        <f t="shared" si="4"/>
        <v>0</v>
      </c>
      <c r="BM14" s="21">
        <f t="shared" si="4"/>
        <v>0</v>
      </c>
      <c r="BN14" s="21">
        <f t="shared" si="4"/>
        <v>0</v>
      </c>
      <c r="BO14" s="21">
        <f t="shared" si="4"/>
        <v>0</v>
      </c>
      <c r="BP14" s="21">
        <f t="shared" si="4"/>
        <v>0</v>
      </c>
      <c r="BQ14" s="21">
        <f t="shared" si="4"/>
        <v>0</v>
      </c>
      <c r="BR14" s="21">
        <f t="shared" si="4"/>
        <v>0</v>
      </c>
      <c r="BS14" s="21">
        <f t="shared" si="4"/>
        <v>3183797</v>
      </c>
      <c r="BT14" s="21">
        <f t="shared" si="4"/>
        <v>0</v>
      </c>
      <c r="BU14" s="21">
        <f t="shared" si="4"/>
        <v>0</v>
      </c>
      <c r="BV14" s="21">
        <f t="shared" si="4"/>
        <v>0</v>
      </c>
      <c r="BW14" s="21">
        <f t="shared" si="4"/>
        <v>0</v>
      </c>
      <c r="BX14" s="21">
        <f t="shared" si="5"/>
        <v>40713212</v>
      </c>
      <c r="BY14" s="21">
        <f t="shared" si="5"/>
        <v>0</v>
      </c>
      <c r="BZ14" s="21">
        <f t="shared" si="5"/>
        <v>0</v>
      </c>
      <c r="CA14" s="21">
        <f t="shared" si="5"/>
        <v>0</v>
      </c>
      <c r="CB14" s="21">
        <f t="shared" si="5"/>
        <v>0</v>
      </c>
      <c r="CC14" s="21">
        <f t="shared" si="5"/>
        <v>0</v>
      </c>
      <c r="CD14" s="21">
        <f t="shared" si="5"/>
        <v>0</v>
      </c>
      <c r="CE14" s="23">
        <f t="shared" si="6"/>
        <v>0.85318775272007918</v>
      </c>
      <c r="CF14" s="21">
        <f t="shared" si="7"/>
        <v>612511523</v>
      </c>
      <c r="CG14" s="21"/>
      <c r="CH14" s="21">
        <f>+'[1]Acuerdo PLAN INVERSIÓN 2021'!$J$138</f>
        <v>69265745</v>
      </c>
      <c r="CI14" s="21"/>
      <c r="CJ14" s="21">
        <f>+'[1]Acuerdo PLAN INVERSIÓN 2021'!$M$138</f>
        <v>447284183</v>
      </c>
      <c r="CK14" s="21"/>
      <c r="CL14" s="21"/>
      <c r="CM14" s="21"/>
      <c r="CN14" s="21"/>
      <c r="CO14" s="21"/>
      <c r="CP14" s="21"/>
      <c r="CQ14" s="21"/>
      <c r="CR14" s="21">
        <f>+'[5]Acuerdo PLAN INVERSIÓN 2021'!$H$177+'[5]Acuerdo PLAN INVERSIÓN 2021'!$H$181</f>
        <v>18174807</v>
      </c>
      <c r="CS14" s="21"/>
      <c r="CT14" s="21"/>
      <c r="CU14" s="21"/>
      <c r="CV14" s="21"/>
      <c r="CW14" s="21">
        <f>+'[5]Acuerdo PLAN INVERSIÓN 2021'!$H$155</f>
        <v>59286788</v>
      </c>
      <c r="CX14" s="21"/>
      <c r="CY14" s="21"/>
      <c r="CZ14" s="21"/>
      <c r="DA14" s="21"/>
      <c r="DB14" s="21"/>
      <c r="DC14" s="21">
        <f>+'[5]Acuerdo PLAN INVERSIÓN 2021'!$H$169+'[5]Acuerdo PLAN INVERSIÓN 2021'!$H$174+'[5]Acuerdo PLAN INVERSIÓN 2021'!$H$187</f>
        <v>18500000</v>
      </c>
      <c r="DD14" s="23">
        <f t="shared" si="8"/>
        <v>0.14681224727992082</v>
      </c>
      <c r="DE14" s="21">
        <f t="shared" si="13"/>
        <v>105397895</v>
      </c>
      <c r="DF14" s="21">
        <f t="shared" si="9"/>
        <v>0</v>
      </c>
      <c r="DG14" s="21">
        <f t="shared" si="9"/>
        <v>30734255</v>
      </c>
      <c r="DH14" s="21">
        <f t="shared" si="9"/>
        <v>0</v>
      </c>
      <c r="DI14" s="21">
        <f t="shared" si="9"/>
        <v>30766631</v>
      </c>
      <c r="DJ14" s="21">
        <f t="shared" si="9"/>
        <v>0</v>
      </c>
      <c r="DK14" s="21">
        <f t="shared" si="9"/>
        <v>0</v>
      </c>
      <c r="DL14" s="21">
        <f t="shared" si="9"/>
        <v>0</v>
      </c>
      <c r="DM14" s="21">
        <f t="shared" si="9"/>
        <v>0</v>
      </c>
      <c r="DN14" s="21">
        <f t="shared" si="9"/>
        <v>0</v>
      </c>
      <c r="DO14" s="21">
        <f t="shared" si="9"/>
        <v>0</v>
      </c>
      <c r="DP14" s="21">
        <f t="shared" si="9"/>
        <v>0</v>
      </c>
      <c r="DQ14" s="21">
        <f t="shared" si="9"/>
        <v>3183797</v>
      </c>
      <c r="DR14" s="21">
        <f t="shared" si="9"/>
        <v>0</v>
      </c>
      <c r="DS14" s="21">
        <f t="shared" si="9"/>
        <v>0</v>
      </c>
      <c r="DT14" s="21">
        <f t="shared" si="9"/>
        <v>0</v>
      </c>
      <c r="DU14" s="21">
        <f t="shared" si="9"/>
        <v>0</v>
      </c>
      <c r="DV14" s="21">
        <f t="shared" si="10"/>
        <v>40713212</v>
      </c>
      <c r="DW14" s="21">
        <f t="shared" si="10"/>
        <v>0</v>
      </c>
      <c r="DX14" s="21">
        <f t="shared" si="10"/>
        <v>0</v>
      </c>
      <c r="DY14" s="21">
        <f t="shared" si="10"/>
        <v>0</v>
      </c>
      <c r="DZ14" s="21">
        <f t="shared" si="10"/>
        <v>0</v>
      </c>
      <c r="EA14" s="21">
        <f t="shared" si="10"/>
        <v>0</v>
      </c>
      <c r="EB14" s="21">
        <f t="shared" si="10"/>
        <v>0</v>
      </c>
    </row>
    <row r="15" spans="1:137" ht="26.25" hidden="1" customHeight="1" x14ac:dyDescent="0.25">
      <c r="A15" s="28"/>
      <c r="B15" s="190"/>
      <c r="C15" s="17" t="s">
        <v>71</v>
      </c>
      <c r="D15" s="29" t="s">
        <v>72</v>
      </c>
      <c r="E15" s="19">
        <v>310</v>
      </c>
      <c r="F15" s="20" t="s">
        <v>73</v>
      </c>
      <c r="G15" s="21">
        <f t="shared" si="0"/>
        <v>50000000</v>
      </c>
      <c r="H15" s="22">
        <v>90000000</v>
      </c>
      <c r="I15" s="22">
        <f t="shared" si="11"/>
        <v>40000000</v>
      </c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>
        <v>50000000</v>
      </c>
      <c r="AA15" s="21"/>
      <c r="AB15" s="21"/>
      <c r="AC15" s="21"/>
      <c r="AD15" s="21"/>
      <c r="AE15" s="21"/>
      <c r="AF15" s="21">
        <f>8000000-8000000</f>
        <v>0</v>
      </c>
      <c r="AG15" s="23">
        <f t="shared" si="1"/>
        <v>0.17122870000000001</v>
      </c>
      <c r="AH15" s="21">
        <f t="shared" si="2"/>
        <v>8561435</v>
      </c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>
        <f>+'[1]Acuerdo PLAN INVERSIÓN 2021'!$AA$237</f>
        <v>8561435</v>
      </c>
      <c r="AZ15" s="21"/>
      <c r="BA15" s="21"/>
      <c r="BB15" s="21"/>
      <c r="BC15" s="21"/>
      <c r="BD15" s="21"/>
      <c r="BE15" s="21"/>
      <c r="BF15" s="23">
        <f t="shared" si="12"/>
        <v>0.82877129999999999</v>
      </c>
      <c r="BG15" s="21">
        <f t="shared" si="3"/>
        <v>41438565</v>
      </c>
      <c r="BH15" s="21">
        <f t="shared" si="4"/>
        <v>0</v>
      </c>
      <c r="BI15" s="21">
        <f t="shared" si="4"/>
        <v>0</v>
      </c>
      <c r="BJ15" s="21">
        <f t="shared" si="4"/>
        <v>0</v>
      </c>
      <c r="BK15" s="21">
        <f t="shared" si="4"/>
        <v>0</v>
      </c>
      <c r="BL15" s="21">
        <f t="shared" si="4"/>
        <v>0</v>
      </c>
      <c r="BM15" s="21">
        <f t="shared" si="4"/>
        <v>0</v>
      </c>
      <c r="BN15" s="21">
        <f t="shared" si="4"/>
        <v>0</v>
      </c>
      <c r="BO15" s="21">
        <f t="shared" si="4"/>
        <v>0</v>
      </c>
      <c r="BP15" s="21">
        <f t="shared" si="4"/>
        <v>0</v>
      </c>
      <c r="BQ15" s="21">
        <f t="shared" si="4"/>
        <v>0</v>
      </c>
      <c r="BR15" s="21">
        <f t="shared" si="4"/>
        <v>0</v>
      </c>
      <c r="BS15" s="21">
        <f t="shared" si="4"/>
        <v>0</v>
      </c>
      <c r="BT15" s="21">
        <f t="shared" si="4"/>
        <v>0</v>
      </c>
      <c r="BU15" s="21">
        <f t="shared" si="4"/>
        <v>0</v>
      </c>
      <c r="BV15" s="21">
        <f t="shared" si="4"/>
        <v>0</v>
      </c>
      <c r="BW15" s="21">
        <f t="shared" si="4"/>
        <v>0</v>
      </c>
      <c r="BX15" s="21">
        <f t="shared" si="5"/>
        <v>41438565</v>
      </c>
      <c r="BY15" s="21">
        <f t="shared" si="5"/>
        <v>0</v>
      </c>
      <c r="BZ15" s="21">
        <f t="shared" si="5"/>
        <v>0</v>
      </c>
      <c r="CA15" s="21">
        <f t="shared" si="5"/>
        <v>0</v>
      </c>
      <c r="CB15" s="21">
        <f t="shared" si="5"/>
        <v>0</v>
      </c>
      <c r="CC15" s="21">
        <f t="shared" si="5"/>
        <v>0</v>
      </c>
      <c r="CD15" s="21">
        <f t="shared" si="5"/>
        <v>0</v>
      </c>
      <c r="CE15" s="23">
        <f t="shared" si="6"/>
        <v>0.17122870000000001</v>
      </c>
      <c r="CF15" s="21">
        <f t="shared" si="7"/>
        <v>8561435</v>
      </c>
      <c r="CG15" s="21"/>
      <c r="CH15" s="21"/>
      <c r="CI15" s="21"/>
      <c r="CJ15" s="21"/>
      <c r="CK15" s="21"/>
      <c r="CL15" s="21"/>
      <c r="CM15" s="21"/>
      <c r="CN15" s="21"/>
      <c r="CO15" s="21"/>
      <c r="CP15" s="21"/>
      <c r="CQ15" s="21"/>
      <c r="CR15" s="21"/>
      <c r="CS15" s="21"/>
      <c r="CT15" s="21"/>
      <c r="CU15" s="21"/>
      <c r="CV15" s="21"/>
      <c r="CW15" s="21">
        <f>+'[1]Acuerdo PLAN INVERSIÓN 2021'!$H$235</f>
        <v>8561435</v>
      </c>
      <c r="CX15" s="21"/>
      <c r="CY15" s="21"/>
      <c r="CZ15" s="21"/>
      <c r="DA15" s="21"/>
      <c r="DB15" s="21"/>
      <c r="DC15" s="21"/>
      <c r="DD15" s="23">
        <f t="shared" si="8"/>
        <v>0.82877129999999999</v>
      </c>
      <c r="DE15" s="21">
        <f t="shared" si="13"/>
        <v>41438565</v>
      </c>
      <c r="DF15" s="21">
        <f t="shared" si="9"/>
        <v>0</v>
      </c>
      <c r="DG15" s="21">
        <f t="shared" si="9"/>
        <v>0</v>
      </c>
      <c r="DH15" s="21">
        <f t="shared" si="9"/>
        <v>0</v>
      </c>
      <c r="DI15" s="21">
        <f t="shared" si="9"/>
        <v>0</v>
      </c>
      <c r="DJ15" s="21">
        <f t="shared" si="9"/>
        <v>0</v>
      </c>
      <c r="DK15" s="21">
        <f t="shared" si="9"/>
        <v>0</v>
      </c>
      <c r="DL15" s="21">
        <f t="shared" si="9"/>
        <v>0</v>
      </c>
      <c r="DM15" s="21">
        <f t="shared" si="9"/>
        <v>0</v>
      </c>
      <c r="DN15" s="21">
        <f t="shared" si="9"/>
        <v>0</v>
      </c>
      <c r="DO15" s="21">
        <f t="shared" si="9"/>
        <v>0</v>
      </c>
      <c r="DP15" s="21">
        <f t="shared" si="9"/>
        <v>0</v>
      </c>
      <c r="DQ15" s="21">
        <f t="shared" si="9"/>
        <v>0</v>
      </c>
      <c r="DR15" s="21">
        <f t="shared" si="9"/>
        <v>0</v>
      </c>
      <c r="DS15" s="21">
        <f t="shared" si="9"/>
        <v>0</v>
      </c>
      <c r="DT15" s="21">
        <f t="shared" si="9"/>
        <v>0</v>
      </c>
      <c r="DU15" s="21">
        <f t="shared" si="9"/>
        <v>0</v>
      </c>
      <c r="DV15" s="21">
        <f t="shared" si="10"/>
        <v>41438565</v>
      </c>
      <c r="DW15" s="21">
        <f t="shared" si="10"/>
        <v>0</v>
      </c>
      <c r="DX15" s="21">
        <f t="shared" si="10"/>
        <v>0</v>
      </c>
      <c r="DY15" s="21">
        <f t="shared" si="10"/>
        <v>0</v>
      </c>
      <c r="DZ15" s="21">
        <f t="shared" si="10"/>
        <v>0</v>
      </c>
      <c r="EA15" s="21">
        <f t="shared" si="10"/>
        <v>0</v>
      </c>
      <c r="EB15" s="21">
        <f t="shared" si="10"/>
        <v>0</v>
      </c>
    </row>
    <row r="16" spans="1:137" ht="48" hidden="1" customHeight="1" x14ac:dyDescent="0.25">
      <c r="A16" s="28"/>
      <c r="B16" s="190"/>
      <c r="C16" s="17" t="s">
        <v>74</v>
      </c>
      <c r="D16" s="18" t="s">
        <v>75</v>
      </c>
      <c r="E16" s="19">
        <v>310</v>
      </c>
      <c r="F16" s="20" t="s">
        <v>76</v>
      </c>
      <c r="G16" s="21">
        <f t="shared" si="0"/>
        <v>461524882</v>
      </c>
      <c r="H16" s="22">
        <v>628000000</v>
      </c>
      <c r="I16" s="22">
        <f t="shared" si="11"/>
        <v>166475118</v>
      </c>
      <c r="J16" s="21"/>
      <c r="K16" s="21">
        <f>100000000+37117235</f>
        <v>137117235</v>
      </c>
      <c r="L16" s="21"/>
      <c r="M16" s="21"/>
      <c r="N16" s="21"/>
      <c r="O16" s="21"/>
      <c r="P16" s="21"/>
      <c r="Q16" s="21"/>
      <c r="R16" s="21"/>
      <c r="S16" s="21"/>
      <c r="T16" s="21"/>
      <c r="U16" s="21">
        <f>1576587</f>
        <v>1576587</v>
      </c>
      <c r="V16" s="21"/>
      <c r="W16" s="21"/>
      <c r="X16" s="21"/>
      <c r="Y16" s="21"/>
      <c r="Z16" s="21">
        <v>262000000</v>
      </c>
      <c r="AA16" s="21"/>
      <c r="AB16" s="21"/>
      <c r="AC16" s="21"/>
      <c r="AD16" s="21"/>
      <c r="AE16" s="21"/>
      <c r="AF16" s="21">
        <f>20000000+20400000+5000000+10931060+4500000</f>
        <v>60831060</v>
      </c>
      <c r="AG16" s="23">
        <f t="shared" si="1"/>
        <v>0.4426951416240219</v>
      </c>
      <c r="AH16" s="21">
        <f t="shared" si="2"/>
        <v>204314823</v>
      </c>
      <c r="AI16" s="21"/>
      <c r="AJ16" s="21">
        <f>+'[1]Acuerdo PLAN INVERSIÓN 2021'!$J$247</f>
        <v>89418632</v>
      </c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>
        <f>+'[1]Acuerdo PLAN INVERSIÓN 2021'!$AA$247</f>
        <v>84092890</v>
      </c>
      <c r="AZ16" s="21"/>
      <c r="BA16" s="21"/>
      <c r="BB16" s="21"/>
      <c r="BC16" s="21"/>
      <c r="BD16" s="21"/>
      <c r="BE16" s="21">
        <f>+'[1]Acuerdo PLAN INVERSIÓN 2021'!$AF$247</f>
        <v>30803301</v>
      </c>
      <c r="BF16" s="23">
        <f t="shared" si="12"/>
        <v>0.5573048583759781</v>
      </c>
      <c r="BG16" s="21">
        <f t="shared" si="3"/>
        <v>257210059</v>
      </c>
      <c r="BH16" s="21">
        <f t="shared" si="4"/>
        <v>0</v>
      </c>
      <c r="BI16" s="21">
        <f t="shared" si="4"/>
        <v>47698603</v>
      </c>
      <c r="BJ16" s="21">
        <f t="shared" si="4"/>
        <v>0</v>
      </c>
      <c r="BK16" s="21">
        <f t="shared" si="4"/>
        <v>0</v>
      </c>
      <c r="BL16" s="21">
        <f t="shared" si="4"/>
        <v>0</v>
      </c>
      <c r="BM16" s="21">
        <f t="shared" si="4"/>
        <v>0</v>
      </c>
      <c r="BN16" s="21">
        <f t="shared" si="4"/>
        <v>0</v>
      </c>
      <c r="BO16" s="21">
        <f t="shared" si="4"/>
        <v>0</v>
      </c>
      <c r="BP16" s="21">
        <f t="shared" si="4"/>
        <v>0</v>
      </c>
      <c r="BQ16" s="21">
        <f t="shared" si="4"/>
        <v>0</v>
      </c>
      <c r="BR16" s="21">
        <f t="shared" si="4"/>
        <v>0</v>
      </c>
      <c r="BS16" s="21">
        <f t="shared" si="4"/>
        <v>1576587</v>
      </c>
      <c r="BT16" s="21">
        <f t="shared" si="4"/>
        <v>0</v>
      </c>
      <c r="BU16" s="21">
        <f t="shared" si="4"/>
        <v>0</v>
      </c>
      <c r="BV16" s="21">
        <f t="shared" si="4"/>
        <v>0</v>
      </c>
      <c r="BW16" s="21">
        <f t="shared" si="4"/>
        <v>0</v>
      </c>
      <c r="BX16" s="21">
        <f t="shared" si="5"/>
        <v>177907110</v>
      </c>
      <c r="BY16" s="21">
        <f t="shared" si="5"/>
        <v>0</v>
      </c>
      <c r="BZ16" s="21">
        <f t="shared" si="5"/>
        <v>0</v>
      </c>
      <c r="CA16" s="21">
        <f t="shared" si="5"/>
        <v>0</v>
      </c>
      <c r="CB16" s="21">
        <f t="shared" si="5"/>
        <v>0</v>
      </c>
      <c r="CC16" s="21">
        <f t="shared" si="5"/>
        <v>0</v>
      </c>
      <c r="CD16" s="21">
        <f t="shared" si="5"/>
        <v>30027759</v>
      </c>
      <c r="CE16" s="23">
        <f t="shared" si="6"/>
        <v>0.4426951416240219</v>
      </c>
      <c r="CF16" s="21">
        <f t="shared" si="7"/>
        <v>204314823</v>
      </c>
      <c r="CG16" s="21"/>
      <c r="CH16" s="21">
        <f>+'[5]Acuerdo PLAN INVERSIÓN 2021'!$H$230+'[5]Acuerdo PLAN INVERSIÓN 2021'!$H$335+'[5]Acuerdo PLAN INVERSIÓN 2021'!$H$357+'[5]Acuerdo PLAN INVERSIÓN 2021'!$H$361+'[5]Acuerdo PLAN INVERSIÓN 2021'!$H$382+'[5]Acuerdo PLAN INVERSIÓN 2021'!$H$394</f>
        <v>89418632</v>
      </c>
      <c r="CI16" s="21"/>
      <c r="CJ16" s="21"/>
      <c r="CK16" s="21"/>
      <c r="CL16" s="21"/>
      <c r="CM16" s="21"/>
      <c r="CN16" s="21"/>
      <c r="CO16" s="21"/>
      <c r="CP16" s="21"/>
      <c r="CQ16" s="21"/>
      <c r="CR16" s="21"/>
      <c r="CS16" s="21"/>
      <c r="CT16" s="21"/>
      <c r="CU16" s="21"/>
      <c r="CV16" s="21"/>
      <c r="CW16" s="21">
        <f>+'[1]Acuerdo PLAN INVERSIÓN 2021'!$AA$247</f>
        <v>84092890</v>
      </c>
      <c r="CX16" s="21"/>
      <c r="CY16" s="21"/>
      <c r="CZ16" s="21"/>
      <c r="DA16" s="21"/>
      <c r="DB16" s="21"/>
      <c r="DC16" s="21">
        <f>+'[1]Acuerdo PLAN INVERSIÓN 2021'!$AF$247</f>
        <v>30803301</v>
      </c>
      <c r="DD16" s="23">
        <f t="shared" si="8"/>
        <v>0.5573048583759781</v>
      </c>
      <c r="DE16" s="21">
        <f t="shared" si="13"/>
        <v>257210059</v>
      </c>
      <c r="DF16" s="21">
        <f t="shared" si="9"/>
        <v>0</v>
      </c>
      <c r="DG16" s="21">
        <f t="shared" si="9"/>
        <v>47698603</v>
      </c>
      <c r="DH16" s="21">
        <f t="shared" si="9"/>
        <v>0</v>
      </c>
      <c r="DI16" s="21">
        <f t="shared" si="9"/>
        <v>0</v>
      </c>
      <c r="DJ16" s="21">
        <f t="shared" si="9"/>
        <v>0</v>
      </c>
      <c r="DK16" s="21">
        <f t="shared" si="9"/>
        <v>0</v>
      </c>
      <c r="DL16" s="21">
        <f t="shared" si="9"/>
        <v>0</v>
      </c>
      <c r="DM16" s="21">
        <f t="shared" si="9"/>
        <v>0</v>
      </c>
      <c r="DN16" s="21">
        <f t="shared" si="9"/>
        <v>0</v>
      </c>
      <c r="DO16" s="21">
        <f t="shared" si="9"/>
        <v>0</v>
      </c>
      <c r="DP16" s="21">
        <f t="shared" si="9"/>
        <v>0</v>
      </c>
      <c r="DQ16" s="21">
        <f t="shared" si="9"/>
        <v>1576587</v>
      </c>
      <c r="DR16" s="21">
        <f t="shared" si="9"/>
        <v>0</v>
      </c>
      <c r="DS16" s="21">
        <f t="shared" si="9"/>
        <v>0</v>
      </c>
      <c r="DT16" s="21">
        <f t="shared" si="9"/>
        <v>0</v>
      </c>
      <c r="DU16" s="21">
        <f t="shared" si="9"/>
        <v>0</v>
      </c>
      <c r="DV16" s="21">
        <f t="shared" si="10"/>
        <v>177907110</v>
      </c>
      <c r="DW16" s="21">
        <f t="shared" si="10"/>
        <v>0</v>
      </c>
      <c r="DX16" s="21">
        <f t="shared" si="10"/>
        <v>0</v>
      </c>
      <c r="DY16" s="21">
        <f t="shared" si="10"/>
        <v>0</v>
      </c>
      <c r="DZ16" s="21">
        <f t="shared" si="10"/>
        <v>0</v>
      </c>
      <c r="EA16" s="21">
        <f t="shared" si="10"/>
        <v>0</v>
      </c>
      <c r="EB16" s="21">
        <f t="shared" si="10"/>
        <v>30027759</v>
      </c>
    </row>
    <row r="17" spans="1:137" ht="26.25" hidden="1" customHeight="1" x14ac:dyDescent="0.25">
      <c r="A17" s="28"/>
      <c r="B17" s="191"/>
      <c r="C17" s="17" t="s">
        <v>77</v>
      </c>
      <c r="D17" s="18" t="s">
        <v>78</v>
      </c>
      <c r="E17" s="19">
        <v>310</v>
      </c>
      <c r="F17" s="20" t="s">
        <v>63</v>
      </c>
      <c r="G17" s="21">
        <f t="shared" si="0"/>
        <v>22066667</v>
      </c>
      <c r="H17" s="22">
        <v>80000000</v>
      </c>
      <c r="I17" s="22">
        <f t="shared" si="11"/>
        <v>57933333</v>
      </c>
      <c r="J17" s="21"/>
      <c r="K17" s="21">
        <f>2066667</f>
        <v>2066667</v>
      </c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>
        <v>20000000</v>
      </c>
      <c r="AA17" s="21"/>
      <c r="AB17" s="21"/>
      <c r="AC17" s="21"/>
      <c r="AD17" s="21"/>
      <c r="AE17" s="21"/>
      <c r="AF17" s="21"/>
      <c r="AG17" s="23">
        <f t="shared" si="1"/>
        <v>0</v>
      </c>
      <c r="AH17" s="21">
        <f t="shared" si="2"/>
        <v>0</v>
      </c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3">
        <f t="shared" si="12"/>
        <v>1</v>
      </c>
      <c r="BG17" s="21">
        <f t="shared" si="3"/>
        <v>22066667</v>
      </c>
      <c r="BH17" s="21">
        <f t="shared" si="4"/>
        <v>0</v>
      </c>
      <c r="BI17" s="21">
        <f t="shared" si="4"/>
        <v>2066667</v>
      </c>
      <c r="BJ17" s="21">
        <f t="shared" si="4"/>
        <v>0</v>
      </c>
      <c r="BK17" s="21">
        <f t="shared" si="4"/>
        <v>0</v>
      </c>
      <c r="BL17" s="21">
        <f t="shared" si="4"/>
        <v>0</v>
      </c>
      <c r="BM17" s="21">
        <f t="shared" si="4"/>
        <v>0</v>
      </c>
      <c r="BN17" s="21">
        <f t="shared" si="4"/>
        <v>0</v>
      </c>
      <c r="BO17" s="21">
        <f t="shared" si="4"/>
        <v>0</v>
      </c>
      <c r="BP17" s="21">
        <f t="shared" si="4"/>
        <v>0</v>
      </c>
      <c r="BQ17" s="21">
        <f t="shared" si="4"/>
        <v>0</v>
      </c>
      <c r="BR17" s="21">
        <f t="shared" si="4"/>
        <v>0</v>
      </c>
      <c r="BS17" s="21">
        <f t="shared" si="4"/>
        <v>0</v>
      </c>
      <c r="BT17" s="21">
        <f t="shared" si="4"/>
        <v>0</v>
      </c>
      <c r="BU17" s="21">
        <f t="shared" si="4"/>
        <v>0</v>
      </c>
      <c r="BV17" s="21">
        <f t="shared" si="4"/>
        <v>0</v>
      </c>
      <c r="BW17" s="21">
        <f t="shared" si="4"/>
        <v>0</v>
      </c>
      <c r="BX17" s="21">
        <f t="shared" si="5"/>
        <v>20000000</v>
      </c>
      <c r="BY17" s="21">
        <f t="shared" si="5"/>
        <v>0</v>
      </c>
      <c r="BZ17" s="21">
        <f t="shared" si="5"/>
        <v>0</v>
      </c>
      <c r="CA17" s="21">
        <f t="shared" si="5"/>
        <v>0</v>
      </c>
      <c r="CB17" s="21">
        <f t="shared" si="5"/>
        <v>0</v>
      </c>
      <c r="CC17" s="21">
        <f t="shared" si="5"/>
        <v>0</v>
      </c>
      <c r="CD17" s="21">
        <f t="shared" si="5"/>
        <v>0</v>
      </c>
      <c r="CE17" s="23">
        <f t="shared" si="6"/>
        <v>0</v>
      </c>
      <c r="CF17" s="21">
        <f t="shared" si="7"/>
        <v>0</v>
      </c>
      <c r="CG17" s="21"/>
      <c r="CH17" s="21"/>
      <c r="CI17" s="21"/>
      <c r="CJ17" s="21"/>
      <c r="CK17" s="21"/>
      <c r="CL17" s="21"/>
      <c r="CM17" s="21"/>
      <c r="CN17" s="21"/>
      <c r="CO17" s="21"/>
      <c r="CP17" s="21"/>
      <c r="CQ17" s="21"/>
      <c r="CR17" s="21"/>
      <c r="CS17" s="21"/>
      <c r="CT17" s="21"/>
      <c r="CU17" s="21"/>
      <c r="CV17" s="21"/>
      <c r="CW17" s="21"/>
      <c r="CX17" s="21"/>
      <c r="CY17" s="21"/>
      <c r="CZ17" s="21"/>
      <c r="DA17" s="21"/>
      <c r="DB17" s="21"/>
      <c r="DC17" s="21"/>
      <c r="DD17" s="23">
        <f t="shared" si="8"/>
        <v>1</v>
      </c>
      <c r="DE17" s="21">
        <f t="shared" si="13"/>
        <v>22066667</v>
      </c>
      <c r="DF17" s="21">
        <f t="shared" si="9"/>
        <v>0</v>
      </c>
      <c r="DG17" s="21">
        <f t="shared" si="9"/>
        <v>2066667</v>
      </c>
      <c r="DH17" s="21">
        <f t="shared" si="9"/>
        <v>0</v>
      </c>
      <c r="DI17" s="21">
        <f t="shared" si="9"/>
        <v>0</v>
      </c>
      <c r="DJ17" s="21">
        <f t="shared" si="9"/>
        <v>0</v>
      </c>
      <c r="DK17" s="21">
        <f t="shared" si="9"/>
        <v>0</v>
      </c>
      <c r="DL17" s="21">
        <f t="shared" si="9"/>
        <v>0</v>
      </c>
      <c r="DM17" s="21">
        <f t="shared" si="9"/>
        <v>0</v>
      </c>
      <c r="DN17" s="21">
        <f t="shared" si="9"/>
        <v>0</v>
      </c>
      <c r="DO17" s="21">
        <f t="shared" si="9"/>
        <v>0</v>
      </c>
      <c r="DP17" s="21">
        <f t="shared" si="9"/>
        <v>0</v>
      </c>
      <c r="DQ17" s="21">
        <f t="shared" si="9"/>
        <v>0</v>
      </c>
      <c r="DR17" s="21">
        <f t="shared" si="9"/>
        <v>0</v>
      </c>
      <c r="DS17" s="21">
        <f t="shared" si="9"/>
        <v>0</v>
      </c>
      <c r="DT17" s="21">
        <f t="shared" si="9"/>
        <v>0</v>
      </c>
      <c r="DU17" s="21">
        <f t="shared" si="9"/>
        <v>0</v>
      </c>
      <c r="DV17" s="21">
        <f t="shared" si="10"/>
        <v>20000000</v>
      </c>
      <c r="DW17" s="21">
        <f t="shared" si="10"/>
        <v>0</v>
      </c>
      <c r="DX17" s="21">
        <f t="shared" si="10"/>
        <v>0</v>
      </c>
      <c r="DY17" s="21">
        <f t="shared" si="10"/>
        <v>0</v>
      </c>
      <c r="DZ17" s="21">
        <f t="shared" si="10"/>
        <v>0</v>
      </c>
      <c r="EA17" s="21">
        <f t="shared" si="10"/>
        <v>0</v>
      </c>
      <c r="EB17" s="21">
        <f t="shared" si="10"/>
        <v>0</v>
      </c>
    </row>
    <row r="18" spans="1:137" ht="65.25" hidden="1" customHeight="1" x14ac:dyDescent="0.25">
      <c r="A18" s="28"/>
      <c r="B18" s="192" t="s">
        <v>79</v>
      </c>
      <c r="C18" s="34" t="s">
        <v>80</v>
      </c>
      <c r="D18" s="29" t="s">
        <v>81</v>
      </c>
      <c r="E18" s="19">
        <v>510</v>
      </c>
      <c r="F18" s="20" t="s">
        <v>82</v>
      </c>
      <c r="G18" s="21">
        <f t="shared" si="0"/>
        <v>313199723</v>
      </c>
      <c r="H18" s="22">
        <v>150000000</v>
      </c>
      <c r="I18" s="22">
        <f t="shared" si="11"/>
        <v>-163199723</v>
      </c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>
        <v>100000000</v>
      </c>
      <c r="AA18" s="21"/>
      <c r="AB18" s="21">
        <f>34000000+73168075-10000000</f>
        <v>97168075</v>
      </c>
      <c r="AC18" s="21"/>
      <c r="AD18" s="21"/>
      <c r="AE18" s="21"/>
      <c r="AF18" s="21">
        <f>53000000+8000000+13750000+10000000+10000000+10284982+10996666</f>
        <v>116031648</v>
      </c>
      <c r="AG18" s="23">
        <f t="shared" si="1"/>
        <v>0.9154085075611641</v>
      </c>
      <c r="AH18" s="21">
        <f t="shared" si="2"/>
        <v>286705691</v>
      </c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>
        <f>+'[1]Acuerdo PLAN INVERSIÓN 2021'!$AA$461</f>
        <v>99968332</v>
      </c>
      <c r="AZ18" s="21"/>
      <c r="BA18" s="21">
        <f>+'[1]Acuerdo PLAN INVERSIÓN 2021'!$Y$461</f>
        <v>87703330</v>
      </c>
      <c r="BB18" s="21"/>
      <c r="BC18" s="21"/>
      <c r="BD18" s="21"/>
      <c r="BE18" s="21">
        <f>+'[1]Acuerdo PLAN INVERSIÓN 2021'!$AF$461</f>
        <v>99034029</v>
      </c>
      <c r="BF18" s="23">
        <f t="shared" si="12"/>
        <v>8.4591492438835902E-2</v>
      </c>
      <c r="BG18" s="21">
        <f t="shared" si="3"/>
        <v>26494032</v>
      </c>
      <c r="BH18" s="21">
        <f t="shared" si="4"/>
        <v>0</v>
      </c>
      <c r="BI18" s="21">
        <f t="shared" si="4"/>
        <v>0</v>
      </c>
      <c r="BJ18" s="21">
        <f t="shared" si="4"/>
        <v>0</v>
      </c>
      <c r="BK18" s="21">
        <f t="shared" si="4"/>
        <v>0</v>
      </c>
      <c r="BL18" s="21">
        <f t="shared" si="4"/>
        <v>0</v>
      </c>
      <c r="BM18" s="21">
        <f t="shared" si="4"/>
        <v>0</v>
      </c>
      <c r="BN18" s="21">
        <f t="shared" si="4"/>
        <v>0</v>
      </c>
      <c r="BO18" s="21">
        <f t="shared" si="4"/>
        <v>0</v>
      </c>
      <c r="BP18" s="21">
        <f t="shared" si="4"/>
        <v>0</v>
      </c>
      <c r="BQ18" s="21">
        <f t="shared" si="4"/>
        <v>0</v>
      </c>
      <c r="BR18" s="21">
        <f t="shared" si="4"/>
        <v>0</v>
      </c>
      <c r="BS18" s="21">
        <f t="shared" si="4"/>
        <v>0</v>
      </c>
      <c r="BT18" s="21">
        <f t="shared" si="4"/>
        <v>0</v>
      </c>
      <c r="BU18" s="21">
        <f t="shared" si="4"/>
        <v>0</v>
      </c>
      <c r="BV18" s="21">
        <f t="shared" si="4"/>
        <v>0</v>
      </c>
      <c r="BW18" s="21">
        <f t="shared" si="4"/>
        <v>0</v>
      </c>
      <c r="BX18" s="21">
        <f t="shared" si="5"/>
        <v>31668</v>
      </c>
      <c r="BY18" s="21">
        <f t="shared" si="5"/>
        <v>0</v>
      </c>
      <c r="BZ18" s="21">
        <f t="shared" si="5"/>
        <v>9464745</v>
      </c>
      <c r="CA18" s="21">
        <f t="shared" si="5"/>
        <v>0</v>
      </c>
      <c r="CB18" s="21">
        <f t="shared" si="5"/>
        <v>0</v>
      </c>
      <c r="CC18" s="21">
        <f t="shared" si="5"/>
        <v>0</v>
      </c>
      <c r="CD18" s="21">
        <f t="shared" si="5"/>
        <v>16997619</v>
      </c>
      <c r="CE18" s="23">
        <f t="shared" si="6"/>
        <v>0.9154085075611641</v>
      </c>
      <c r="CF18" s="21">
        <f t="shared" si="7"/>
        <v>286705691</v>
      </c>
      <c r="CG18" s="21"/>
      <c r="CH18" s="21"/>
      <c r="CI18" s="21"/>
      <c r="CJ18" s="21"/>
      <c r="CK18" s="21"/>
      <c r="CL18" s="21"/>
      <c r="CM18" s="21"/>
      <c r="CN18" s="21"/>
      <c r="CO18" s="21"/>
      <c r="CP18" s="21"/>
      <c r="CQ18" s="21"/>
      <c r="CR18" s="21"/>
      <c r="CS18" s="21"/>
      <c r="CT18" s="21"/>
      <c r="CU18" s="21"/>
      <c r="CV18" s="21"/>
      <c r="CW18" s="21">
        <f>+'[8]Acuerdo PLAN INVERSIÓN 2021'!$H$363</f>
        <v>99968332</v>
      </c>
      <c r="CX18" s="21"/>
      <c r="CY18" s="21">
        <f>+'[8]Acuerdo PLAN INVERSIÓN 2021'!$H$403+'[8]Acuerdo PLAN INVERSIÓN 2021'!$H$419</f>
        <v>87703330</v>
      </c>
      <c r="CZ18" s="21"/>
      <c r="DA18" s="21"/>
      <c r="DB18" s="21"/>
      <c r="DC18" s="21">
        <f>+'[8]Acuerdo PLAN INVERSIÓN 2021'!$H$372+'[8]Acuerdo PLAN INVERSIÓN 2021'!$H$376+'[8]Acuerdo PLAN INVERSIÓN 2021'!$H$379+'[8]Acuerdo PLAN INVERSIÓN 2021'!$H$382+'[8]Acuerdo PLAN INVERSIÓN 2021'!$H$385+'[8]Acuerdo PLAN INVERSIÓN 2021'!$H$388+'[8]Acuerdo PLAN INVERSIÓN 2021'!$H$392+'[8]Acuerdo PLAN INVERSIÓN 2021'!$H$395+'[8]Acuerdo PLAN INVERSIÓN 2021'!$H$399+'[8]Acuerdo PLAN INVERSIÓN 2021'!$H$411+'[8]Acuerdo PLAN INVERSIÓN 2021'!$H$414+'[8]Acuerdo PLAN INVERSIÓN 2021'!$H$429+'[8]Acuerdo PLAN INVERSIÓN 2021'!$H$432+'[5]Acuerdo PLAN INVERSIÓN 2021'!$H$507</f>
        <v>99034029</v>
      </c>
      <c r="DD18" s="23">
        <f t="shared" si="8"/>
        <v>8.4591492438835902E-2</v>
      </c>
      <c r="DE18" s="21">
        <f t="shared" si="13"/>
        <v>26494032</v>
      </c>
      <c r="DF18" s="21">
        <f t="shared" si="9"/>
        <v>0</v>
      </c>
      <c r="DG18" s="21">
        <f t="shared" si="9"/>
        <v>0</v>
      </c>
      <c r="DH18" s="21">
        <f t="shared" si="9"/>
        <v>0</v>
      </c>
      <c r="DI18" s="21">
        <f t="shared" si="9"/>
        <v>0</v>
      </c>
      <c r="DJ18" s="21">
        <f t="shared" si="9"/>
        <v>0</v>
      </c>
      <c r="DK18" s="21">
        <f t="shared" si="9"/>
        <v>0</v>
      </c>
      <c r="DL18" s="21">
        <f t="shared" si="9"/>
        <v>0</v>
      </c>
      <c r="DM18" s="21">
        <f t="shared" si="9"/>
        <v>0</v>
      </c>
      <c r="DN18" s="21">
        <f t="shared" si="9"/>
        <v>0</v>
      </c>
      <c r="DO18" s="21">
        <f t="shared" si="9"/>
        <v>0</v>
      </c>
      <c r="DP18" s="21">
        <f t="shared" si="9"/>
        <v>0</v>
      </c>
      <c r="DQ18" s="21">
        <f t="shared" si="9"/>
        <v>0</v>
      </c>
      <c r="DR18" s="21">
        <f t="shared" si="9"/>
        <v>0</v>
      </c>
      <c r="DS18" s="21">
        <f t="shared" si="9"/>
        <v>0</v>
      </c>
      <c r="DT18" s="21">
        <f t="shared" si="9"/>
        <v>0</v>
      </c>
      <c r="DU18" s="21">
        <f t="shared" si="9"/>
        <v>0</v>
      </c>
      <c r="DV18" s="21">
        <f t="shared" si="10"/>
        <v>31668</v>
      </c>
      <c r="DW18" s="21">
        <f t="shared" si="10"/>
        <v>0</v>
      </c>
      <c r="DX18" s="21">
        <f t="shared" si="10"/>
        <v>9464745</v>
      </c>
      <c r="DY18" s="21">
        <f t="shared" si="10"/>
        <v>0</v>
      </c>
      <c r="DZ18" s="21">
        <f t="shared" si="10"/>
        <v>0</v>
      </c>
      <c r="EA18" s="21">
        <f t="shared" si="10"/>
        <v>0</v>
      </c>
      <c r="EB18" s="21">
        <f t="shared" si="10"/>
        <v>16997619</v>
      </c>
    </row>
    <row r="19" spans="1:137" ht="33.6" hidden="1" customHeight="1" x14ac:dyDescent="0.25">
      <c r="A19" s="28"/>
      <c r="B19" s="193"/>
      <c r="C19" s="17" t="s">
        <v>83</v>
      </c>
      <c r="D19" s="18" t="s">
        <v>84</v>
      </c>
      <c r="E19" s="19">
        <v>510</v>
      </c>
      <c r="F19" s="20" t="s">
        <v>63</v>
      </c>
      <c r="G19" s="21">
        <f t="shared" si="0"/>
        <v>7236308</v>
      </c>
      <c r="H19" s="22">
        <v>51000000</v>
      </c>
      <c r="I19" s="22">
        <f t="shared" si="11"/>
        <v>43763692</v>
      </c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>
        <f>2236308</f>
        <v>2236308</v>
      </c>
      <c r="V19" s="21"/>
      <c r="W19" s="21"/>
      <c r="X19" s="21"/>
      <c r="Y19" s="21"/>
      <c r="Z19" s="21">
        <v>5000000</v>
      </c>
      <c r="AA19" s="21"/>
      <c r="AB19" s="21"/>
      <c r="AC19" s="21"/>
      <c r="AD19" s="21"/>
      <c r="AE19" s="21"/>
      <c r="AF19" s="21"/>
      <c r="AG19" s="23">
        <f t="shared" si="1"/>
        <v>0</v>
      </c>
      <c r="AH19" s="21">
        <f t="shared" si="2"/>
        <v>0</v>
      </c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3">
        <f t="shared" si="12"/>
        <v>1</v>
      </c>
      <c r="BG19" s="21">
        <f t="shared" si="3"/>
        <v>7236308</v>
      </c>
      <c r="BH19" s="21">
        <f t="shared" si="4"/>
        <v>0</v>
      </c>
      <c r="BI19" s="21">
        <f t="shared" si="4"/>
        <v>0</v>
      </c>
      <c r="BJ19" s="21">
        <f t="shared" si="4"/>
        <v>0</v>
      </c>
      <c r="BK19" s="21">
        <f t="shared" si="4"/>
        <v>0</v>
      </c>
      <c r="BL19" s="21">
        <f t="shared" si="4"/>
        <v>0</v>
      </c>
      <c r="BM19" s="21">
        <f t="shared" si="4"/>
        <v>0</v>
      </c>
      <c r="BN19" s="21">
        <f t="shared" si="4"/>
        <v>0</v>
      </c>
      <c r="BO19" s="21">
        <f t="shared" si="4"/>
        <v>0</v>
      </c>
      <c r="BP19" s="21">
        <f t="shared" si="4"/>
        <v>0</v>
      </c>
      <c r="BQ19" s="21">
        <f t="shared" si="4"/>
        <v>0</v>
      </c>
      <c r="BR19" s="21">
        <f t="shared" si="4"/>
        <v>0</v>
      </c>
      <c r="BS19" s="21">
        <f t="shared" si="4"/>
        <v>2236308</v>
      </c>
      <c r="BT19" s="21">
        <f t="shared" si="4"/>
        <v>0</v>
      </c>
      <c r="BU19" s="21">
        <f t="shared" si="4"/>
        <v>0</v>
      </c>
      <c r="BV19" s="21">
        <f t="shared" si="4"/>
        <v>0</v>
      </c>
      <c r="BW19" s="21">
        <f t="shared" si="4"/>
        <v>0</v>
      </c>
      <c r="BX19" s="21">
        <f t="shared" si="5"/>
        <v>5000000</v>
      </c>
      <c r="BY19" s="21">
        <f t="shared" si="5"/>
        <v>0</v>
      </c>
      <c r="BZ19" s="21">
        <f t="shared" si="5"/>
        <v>0</v>
      </c>
      <c r="CA19" s="21">
        <f t="shared" si="5"/>
        <v>0</v>
      </c>
      <c r="CB19" s="21">
        <f t="shared" si="5"/>
        <v>0</v>
      </c>
      <c r="CC19" s="21">
        <f t="shared" si="5"/>
        <v>0</v>
      </c>
      <c r="CD19" s="21">
        <f t="shared" si="5"/>
        <v>0</v>
      </c>
      <c r="CE19" s="23">
        <f t="shared" si="6"/>
        <v>0</v>
      </c>
      <c r="CF19" s="21">
        <f t="shared" si="7"/>
        <v>0</v>
      </c>
      <c r="CG19" s="21"/>
      <c r="CH19" s="21"/>
      <c r="CI19" s="21"/>
      <c r="CJ19" s="21"/>
      <c r="CK19" s="21"/>
      <c r="CL19" s="21"/>
      <c r="CM19" s="21"/>
      <c r="CN19" s="21"/>
      <c r="CO19" s="21"/>
      <c r="CP19" s="21"/>
      <c r="CQ19" s="21"/>
      <c r="CR19" s="21"/>
      <c r="CS19" s="21"/>
      <c r="CT19" s="21"/>
      <c r="CU19" s="21"/>
      <c r="CV19" s="21"/>
      <c r="CW19" s="21"/>
      <c r="CX19" s="21"/>
      <c r="CY19" s="21"/>
      <c r="CZ19" s="21"/>
      <c r="DA19" s="21"/>
      <c r="DB19" s="21"/>
      <c r="DC19" s="21"/>
      <c r="DD19" s="23">
        <f t="shared" si="8"/>
        <v>1</v>
      </c>
      <c r="DE19" s="21">
        <f t="shared" si="13"/>
        <v>7236308</v>
      </c>
      <c r="DF19" s="21">
        <f t="shared" si="9"/>
        <v>0</v>
      </c>
      <c r="DG19" s="21">
        <f t="shared" si="9"/>
        <v>0</v>
      </c>
      <c r="DH19" s="21">
        <f t="shared" si="9"/>
        <v>0</v>
      </c>
      <c r="DI19" s="21">
        <f t="shared" si="9"/>
        <v>0</v>
      </c>
      <c r="DJ19" s="21">
        <f t="shared" si="9"/>
        <v>0</v>
      </c>
      <c r="DK19" s="21">
        <f t="shared" si="9"/>
        <v>0</v>
      </c>
      <c r="DL19" s="21">
        <f t="shared" si="9"/>
        <v>0</v>
      </c>
      <c r="DM19" s="21">
        <f t="shared" si="9"/>
        <v>0</v>
      </c>
      <c r="DN19" s="21">
        <f t="shared" si="9"/>
        <v>0</v>
      </c>
      <c r="DO19" s="21">
        <f t="shared" si="9"/>
        <v>0</v>
      </c>
      <c r="DP19" s="21">
        <f t="shared" si="9"/>
        <v>0</v>
      </c>
      <c r="DQ19" s="21">
        <f t="shared" si="9"/>
        <v>2236308</v>
      </c>
      <c r="DR19" s="21">
        <f t="shared" si="9"/>
        <v>0</v>
      </c>
      <c r="DS19" s="21">
        <f t="shared" si="9"/>
        <v>0</v>
      </c>
      <c r="DT19" s="21">
        <f t="shared" si="9"/>
        <v>0</v>
      </c>
      <c r="DU19" s="21">
        <f t="shared" si="9"/>
        <v>0</v>
      </c>
      <c r="DV19" s="21">
        <f t="shared" si="10"/>
        <v>5000000</v>
      </c>
      <c r="DW19" s="21">
        <f t="shared" si="10"/>
        <v>0</v>
      </c>
      <c r="DX19" s="21">
        <f t="shared" si="10"/>
        <v>0</v>
      </c>
      <c r="DY19" s="21">
        <f t="shared" si="10"/>
        <v>0</v>
      </c>
      <c r="DZ19" s="21">
        <f t="shared" si="10"/>
        <v>0</v>
      </c>
      <c r="EA19" s="21">
        <f t="shared" si="10"/>
        <v>0</v>
      </c>
      <c r="EB19" s="21">
        <f t="shared" si="10"/>
        <v>0</v>
      </c>
    </row>
    <row r="20" spans="1:137" ht="33" hidden="1" customHeight="1" x14ac:dyDescent="0.25">
      <c r="A20" s="28"/>
      <c r="B20" s="194"/>
      <c r="C20" s="17" t="s">
        <v>85</v>
      </c>
      <c r="D20" s="18" t="s">
        <v>86</v>
      </c>
      <c r="E20" s="19">
        <v>510</v>
      </c>
      <c r="F20" s="20" t="s">
        <v>63</v>
      </c>
      <c r="G20" s="21">
        <f t="shared" si="0"/>
        <v>108281335</v>
      </c>
      <c r="H20" s="22">
        <v>100000000</v>
      </c>
      <c r="I20" s="22">
        <f t="shared" si="11"/>
        <v>-8281335</v>
      </c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>
        <v>281335</v>
      </c>
      <c r="V20" s="21"/>
      <c r="W20" s="21"/>
      <c r="X20" s="21"/>
      <c r="Y20" s="21"/>
      <c r="Z20" s="21">
        <v>108000000</v>
      </c>
      <c r="AA20" s="21"/>
      <c r="AB20" s="21"/>
      <c r="AC20" s="21"/>
      <c r="AD20" s="21"/>
      <c r="AE20" s="21"/>
      <c r="AF20" s="21"/>
      <c r="AG20" s="23">
        <f t="shared" si="1"/>
        <v>0.99740181444936937</v>
      </c>
      <c r="AH20" s="21">
        <f t="shared" si="2"/>
        <v>108000000</v>
      </c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21"/>
      <c r="AW20" s="21"/>
      <c r="AX20" s="21"/>
      <c r="AY20" s="21">
        <f>+'[9]Acuerdo PLAN INVERSIÓN 2021'!$Z$118</f>
        <v>108000000</v>
      </c>
      <c r="AZ20" s="21"/>
      <c r="BA20" s="21"/>
      <c r="BB20" s="21"/>
      <c r="BC20" s="21"/>
      <c r="BD20" s="21"/>
      <c r="BE20" s="21"/>
      <c r="BF20" s="23">
        <f t="shared" si="12"/>
        <v>2.5981855506306273E-3</v>
      </c>
      <c r="BG20" s="21">
        <f t="shared" si="3"/>
        <v>281335</v>
      </c>
      <c r="BH20" s="21">
        <f t="shared" si="4"/>
        <v>0</v>
      </c>
      <c r="BI20" s="21">
        <f t="shared" si="4"/>
        <v>0</v>
      </c>
      <c r="BJ20" s="21">
        <f t="shared" si="4"/>
        <v>0</v>
      </c>
      <c r="BK20" s="21">
        <f t="shared" si="4"/>
        <v>0</v>
      </c>
      <c r="BL20" s="21">
        <f t="shared" si="4"/>
        <v>0</v>
      </c>
      <c r="BM20" s="21">
        <f t="shared" si="4"/>
        <v>0</v>
      </c>
      <c r="BN20" s="21">
        <f t="shared" si="4"/>
        <v>0</v>
      </c>
      <c r="BO20" s="21">
        <f t="shared" si="4"/>
        <v>0</v>
      </c>
      <c r="BP20" s="21">
        <f t="shared" si="4"/>
        <v>0</v>
      </c>
      <c r="BQ20" s="21">
        <f t="shared" si="4"/>
        <v>0</v>
      </c>
      <c r="BR20" s="21">
        <f t="shared" si="4"/>
        <v>0</v>
      </c>
      <c r="BS20" s="21">
        <f t="shared" si="4"/>
        <v>281335</v>
      </c>
      <c r="BT20" s="21">
        <f t="shared" si="4"/>
        <v>0</v>
      </c>
      <c r="BU20" s="21">
        <f t="shared" si="4"/>
        <v>0</v>
      </c>
      <c r="BV20" s="21">
        <f t="shared" si="4"/>
        <v>0</v>
      </c>
      <c r="BW20" s="21">
        <f t="shared" si="4"/>
        <v>0</v>
      </c>
      <c r="BX20" s="21">
        <f t="shared" si="5"/>
        <v>0</v>
      </c>
      <c r="BY20" s="21">
        <f t="shared" si="5"/>
        <v>0</v>
      </c>
      <c r="BZ20" s="21">
        <f t="shared" si="5"/>
        <v>0</v>
      </c>
      <c r="CA20" s="21">
        <f t="shared" si="5"/>
        <v>0</v>
      </c>
      <c r="CB20" s="21">
        <f t="shared" si="5"/>
        <v>0</v>
      </c>
      <c r="CC20" s="21">
        <f t="shared" si="5"/>
        <v>0</v>
      </c>
      <c r="CD20" s="21">
        <f t="shared" si="5"/>
        <v>0</v>
      </c>
      <c r="CE20" s="23">
        <f t="shared" si="6"/>
        <v>0.99740181444936937</v>
      </c>
      <c r="CF20" s="21">
        <f t="shared" si="7"/>
        <v>108000000</v>
      </c>
      <c r="CG20" s="21"/>
      <c r="CH20" s="21"/>
      <c r="CI20" s="21"/>
      <c r="CJ20" s="21"/>
      <c r="CK20" s="21"/>
      <c r="CL20" s="21"/>
      <c r="CM20" s="21"/>
      <c r="CN20" s="21"/>
      <c r="CO20" s="21"/>
      <c r="CP20" s="21"/>
      <c r="CQ20" s="21"/>
      <c r="CR20" s="21"/>
      <c r="CS20" s="21"/>
      <c r="CT20" s="21"/>
      <c r="CU20" s="21"/>
      <c r="CV20" s="21"/>
      <c r="CW20" s="21">
        <f>+'[3]Acuerdo PLAN INVERSIÓN 2021'!$H$382</f>
        <v>108000000</v>
      </c>
      <c r="CX20" s="21"/>
      <c r="CY20" s="21"/>
      <c r="CZ20" s="21"/>
      <c r="DA20" s="21"/>
      <c r="DB20" s="21"/>
      <c r="DC20" s="21"/>
      <c r="DD20" s="23">
        <f t="shared" si="8"/>
        <v>2.5981855506306273E-3</v>
      </c>
      <c r="DE20" s="21">
        <f t="shared" si="13"/>
        <v>281335</v>
      </c>
      <c r="DF20" s="21">
        <f t="shared" si="9"/>
        <v>0</v>
      </c>
      <c r="DG20" s="21">
        <f t="shared" si="9"/>
        <v>0</v>
      </c>
      <c r="DH20" s="21">
        <f t="shared" si="9"/>
        <v>0</v>
      </c>
      <c r="DI20" s="21">
        <f t="shared" si="9"/>
        <v>0</v>
      </c>
      <c r="DJ20" s="21">
        <f t="shared" si="9"/>
        <v>0</v>
      </c>
      <c r="DK20" s="21">
        <f t="shared" si="9"/>
        <v>0</v>
      </c>
      <c r="DL20" s="21">
        <f t="shared" si="9"/>
        <v>0</v>
      </c>
      <c r="DM20" s="21">
        <f t="shared" si="9"/>
        <v>0</v>
      </c>
      <c r="DN20" s="21">
        <f t="shared" si="9"/>
        <v>0</v>
      </c>
      <c r="DO20" s="21">
        <f t="shared" si="9"/>
        <v>0</v>
      </c>
      <c r="DP20" s="21">
        <f t="shared" si="9"/>
        <v>0</v>
      </c>
      <c r="DQ20" s="21">
        <f t="shared" si="9"/>
        <v>281335</v>
      </c>
      <c r="DR20" s="21">
        <f t="shared" si="9"/>
        <v>0</v>
      </c>
      <c r="DS20" s="21">
        <f t="shared" si="9"/>
        <v>0</v>
      </c>
      <c r="DT20" s="21">
        <f t="shared" si="9"/>
        <v>0</v>
      </c>
      <c r="DU20" s="21">
        <f t="shared" si="9"/>
        <v>0</v>
      </c>
      <c r="DV20" s="21">
        <f t="shared" si="10"/>
        <v>0</v>
      </c>
      <c r="DW20" s="21">
        <f t="shared" si="10"/>
        <v>0</v>
      </c>
      <c r="DX20" s="21">
        <f t="shared" si="10"/>
        <v>0</v>
      </c>
      <c r="DY20" s="21">
        <f t="shared" si="10"/>
        <v>0</v>
      </c>
      <c r="DZ20" s="21">
        <f t="shared" si="10"/>
        <v>0</v>
      </c>
      <c r="EA20" s="21">
        <f t="shared" si="10"/>
        <v>0</v>
      </c>
      <c r="EB20" s="21">
        <f t="shared" si="10"/>
        <v>0</v>
      </c>
    </row>
    <row r="21" spans="1:137" ht="51" hidden="1" customHeight="1" x14ac:dyDescent="0.25">
      <c r="A21" s="28"/>
      <c r="B21" s="35" t="s">
        <v>87</v>
      </c>
      <c r="C21" s="33" t="s">
        <v>88</v>
      </c>
      <c r="D21" s="29" t="s">
        <v>89</v>
      </c>
      <c r="E21" s="19">
        <v>510</v>
      </c>
      <c r="F21" s="36" t="s">
        <v>90</v>
      </c>
      <c r="G21" s="21">
        <f t="shared" si="0"/>
        <v>18620000</v>
      </c>
      <c r="H21" s="22">
        <v>20000000</v>
      </c>
      <c r="I21" s="22">
        <f t="shared" si="11"/>
        <v>1380000</v>
      </c>
      <c r="J21" s="21"/>
      <c r="K21" s="21">
        <v>12620000</v>
      </c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>
        <v>6000000</v>
      </c>
      <c r="AA21" s="21"/>
      <c r="AB21" s="21"/>
      <c r="AC21" s="21"/>
      <c r="AD21" s="21"/>
      <c r="AE21" s="21"/>
      <c r="AF21" s="21"/>
      <c r="AG21" s="23">
        <f t="shared" si="1"/>
        <v>0</v>
      </c>
      <c r="AH21" s="21">
        <f t="shared" si="2"/>
        <v>0</v>
      </c>
      <c r="AI21" s="21"/>
      <c r="AJ21" s="21"/>
      <c r="AK21" s="21"/>
      <c r="AL21" s="21"/>
      <c r="AM21" s="21"/>
      <c r="AN21" s="21"/>
      <c r="AO21" s="21"/>
      <c r="AP21" s="21"/>
      <c r="AQ21" s="21"/>
      <c r="AR21" s="21"/>
      <c r="AS21" s="21"/>
      <c r="AT21" s="21"/>
      <c r="AU21" s="21"/>
      <c r="AV21" s="21"/>
      <c r="AW21" s="21"/>
      <c r="AX21" s="21"/>
      <c r="AY21" s="21"/>
      <c r="AZ21" s="21"/>
      <c r="BA21" s="21"/>
      <c r="BB21" s="21"/>
      <c r="BC21" s="21"/>
      <c r="BD21" s="21"/>
      <c r="BE21" s="21"/>
      <c r="BF21" s="23">
        <f t="shared" si="12"/>
        <v>1</v>
      </c>
      <c r="BG21" s="21">
        <f t="shared" si="3"/>
        <v>18620000</v>
      </c>
      <c r="BH21" s="21">
        <f t="shared" si="4"/>
        <v>0</v>
      </c>
      <c r="BI21" s="21">
        <f t="shared" si="4"/>
        <v>12620000</v>
      </c>
      <c r="BJ21" s="21">
        <f t="shared" si="4"/>
        <v>0</v>
      </c>
      <c r="BK21" s="21">
        <f t="shared" si="4"/>
        <v>0</v>
      </c>
      <c r="BL21" s="21">
        <f t="shared" si="4"/>
        <v>0</v>
      </c>
      <c r="BM21" s="21">
        <f t="shared" si="4"/>
        <v>0</v>
      </c>
      <c r="BN21" s="21">
        <f t="shared" si="4"/>
        <v>0</v>
      </c>
      <c r="BO21" s="21">
        <f t="shared" si="4"/>
        <v>0</v>
      </c>
      <c r="BP21" s="21">
        <f t="shared" si="4"/>
        <v>0</v>
      </c>
      <c r="BQ21" s="21">
        <f t="shared" si="4"/>
        <v>0</v>
      </c>
      <c r="BR21" s="21">
        <f t="shared" si="4"/>
        <v>0</v>
      </c>
      <c r="BS21" s="21">
        <f t="shared" si="4"/>
        <v>0</v>
      </c>
      <c r="BT21" s="21">
        <f t="shared" si="4"/>
        <v>0</v>
      </c>
      <c r="BU21" s="21">
        <f t="shared" si="4"/>
        <v>0</v>
      </c>
      <c r="BV21" s="21">
        <f t="shared" si="4"/>
        <v>0</v>
      </c>
      <c r="BW21" s="21">
        <f t="shared" si="4"/>
        <v>0</v>
      </c>
      <c r="BX21" s="21">
        <f t="shared" si="5"/>
        <v>6000000</v>
      </c>
      <c r="BY21" s="21">
        <f t="shared" si="5"/>
        <v>0</v>
      </c>
      <c r="BZ21" s="21">
        <f t="shared" si="5"/>
        <v>0</v>
      </c>
      <c r="CA21" s="21">
        <f t="shared" si="5"/>
        <v>0</v>
      </c>
      <c r="CB21" s="21">
        <f t="shared" si="5"/>
        <v>0</v>
      </c>
      <c r="CC21" s="21">
        <f t="shared" si="5"/>
        <v>0</v>
      </c>
      <c r="CD21" s="21">
        <f t="shared" si="5"/>
        <v>0</v>
      </c>
      <c r="CE21" s="23">
        <f t="shared" si="6"/>
        <v>0</v>
      </c>
      <c r="CF21" s="21">
        <f t="shared" si="7"/>
        <v>0</v>
      </c>
      <c r="CG21" s="21"/>
      <c r="CH21" s="21"/>
      <c r="CI21" s="21"/>
      <c r="CJ21" s="21"/>
      <c r="CK21" s="21"/>
      <c r="CL21" s="21"/>
      <c r="CM21" s="21"/>
      <c r="CN21" s="21"/>
      <c r="CO21" s="21"/>
      <c r="CP21" s="21"/>
      <c r="CQ21" s="21"/>
      <c r="CR21" s="21"/>
      <c r="CS21" s="21"/>
      <c r="CT21" s="21"/>
      <c r="CU21" s="21"/>
      <c r="CV21" s="21"/>
      <c r="CW21" s="21"/>
      <c r="CX21" s="21"/>
      <c r="CY21" s="21"/>
      <c r="CZ21" s="21"/>
      <c r="DA21" s="21"/>
      <c r="DB21" s="21"/>
      <c r="DC21" s="21"/>
      <c r="DD21" s="23">
        <f t="shared" si="8"/>
        <v>1</v>
      </c>
      <c r="DE21" s="21">
        <f t="shared" si="13"/>
        <v>18620000</v>
      </c>
      <c r="DF21" s="21">
        <f t="shared" si="9"/>
        <v>0</v>
      </c>
      <c r="DG21" s="21">
        <f t="shared" si="9"/>
        <v>12620000</v>
      </c>
      <c r="DH21" s="21">
        <f t="shared" si="9"/>
        <v>0</v>
      </c>
      <c r="DI21" s="21">
        <f t="shared" si="9"/>
        <v>0</v>
      </c>
      <c r="DJ21" s="21">
        <f t="shared" si="9"/>
        <v>0</v>
      </c>
      <c r="DK21" s="21">
        <f t="shared" si="9"/>
        <v>0</v>
      </c>
      <c r="DL21" s="21">
        <f t="shared" si="9"/>
        <v>0</v>
      </c>
      <c r="DM21" s="21">
        <f t="shared" si="9"/>
        <v>0</v>
      </c>
      <c r="DN21" s="21">
        <f t="shared" si="9"/>
        <v>0</v>
      </c>
      <c r="DO21" s="21">
        <f t="shared" si="9"/>
        <v>0</v>
      </c>
      <c r="DP21" s="21">
        <f t="shared" si="9"/>
        <v>0</v>
      </c>
      <c r="DQ21" s="21">
        <f t="shared" si="9"/>
        <v>0</v>
      </c>
      <c r="DR21" s="21">
        <f t="shared" si="9"/>
        <v>0</v>
      </c>
      <c r="DS21" s="21">
        <f t="shared" si="9"/>
        <v>0</v>
      </c>
      <c r="DT21" s="21">
        <f t="shared" si="9"/>
        <v>0</v>
      </c>
      <c r="DU21" s="21">
        <f t="shared" si="9"/>
        <v>0</v>
      </c>
      <c r="DV21" s="21">
        <f t="shared" si="10"/>
        <v>6000000</v>
      </c>
      <c r="DW21" s="21">
        <f t="shared" si="10"/>
        <v>0</v>
      </c>
      <c r="DX21" s="21">
        <f t="shared" si="10"/>
        <v>0</v>
      </c>
      <c r="DY21" s="21">
        <f t="shared" si="10"/>
        <v>0</v>
      </c>
      <c r="DZ21" s="21">
        <f t="shared" si="10"/>
        <v>0</v>
      </c>
      <c r="EA21" s="21">
        <f t="shared" si="10"/>
        <v>0</v>
      </c>
      <c r="EB21" s="21">
        <f t="shared" si="10"/>
        <v>0</v>
      </c>
    </row>
    <row r="22" spans="1:137" ht="34.5" hidden="1" customHeight="1" x14ac:dyDescent="0.25">
      <c r="A22" s="28"/>
      <c r="B22" s="192" t="s">
        <v>91</v>
      </c>
      <c r="C22" s="33" t="s">
        <v>92</v>
      </c>
      <c r="D22" s="29" t="s">
        <v>93</v>
      </c>
      <c r="E22" s="19">
        <v>510</v>
      </c>
      <c r="F22" s="20" t="s">
        <v>94</v>
      </c>
      <c r="G22" s="21">
        <f t="shared" si="0"/>
        <v>15146334</v>
      </c>
      <c r="H22" s="22">
        <v>20000000</v>
      </c>
      <c r="I22" s="22">
        <f t="shared" si="11"/>
        <v>4853666</v>
      </c>
      <c r="J22" s="21"/>
      <c r="K22" s="21">
        <v>146334</v>
      </c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>
        <v>15000000</v>
      </c>
      <c r="AA22" s="21"/>
      <c r="AB22" s="21"/>
      <c r="AC22" s="21"/>
      <c r="AD22" s="21"/>
      <c r="AE22" s="21"/>
      <c r="AF22" s="21"/>
      <c r="AG22" s="23">
        <f t="shared" si="1"/>
        <v>0.99033865224416684</v>
      </c>
      <c r="AH22" s="21">
        <f t="shared" si="2"/>
        <v>15000000</v>
      </c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>
        <f>+'[6]Acuerdo PLAN INVERSIÓN 2021'!$AA$241</f>
        <v>15000000</v>
      </c>
      <c r="AZ22" s="21"/>
      <c r="BA22" s="21"/>
      <c r="BB22" s="21"/>
      <c r="BC22" s="21"/>
      <c r="BD22" s="21"/>
      <c r="BE22" s="21"/>
      <c r="BF22" s="23">
        <f t="shared" si="12"/>
        <v>9.6613477558331606E-3</v>
      </c>
      <c r="BG22" s="21">
        <f t="shared" si="3"/>
        <v>146334</v>
      </c>
      <c r="BH22" s="21">
        <f t="shared" si="4"/>
        <v>0</v>
      </c>
      <c r="BI22" s="21">
        <f t="shared" si="4"/>
        <v>146334</v>
      </c>
      <c r="BJ22" s="21">
        <f t="shared" si="4"/>
        <v>0</v>
      </c>
      <c r="BK22" s="21">
        <f t="shared" si="4"/>
        <v>0</v>
      </c>
      <c r="BL22" s="21">
        <f t="shared" si="4"/>
        <v>0</v>
      </c>
      <c r="BM22" s="21">
        <f t="shared" si="4"/>
        <v>0</v>
      </c>
      <c r="BN22" s="21">
        <f t="shared" si="4"/>
        <v>0</v>
      </c>
      <c r="BO22" s="21">
        <f t="shared" si="4"/>
        <v>0</v>
      </c>
      <c r="BP22" s="21">
        <f t="shared" si="4"/>
        <v>0</v>
      </c>
      <c r="BQ22" s="21">
        <f t="shared" si="4"/>
        <v>0</v>
      </c>
      <c r="BR22" s="21">
        <f t="shared" si="4"/>
        <v>0</v>
      </c>
      <c r="BS22" s="21">
        <f t="shared" si="4"/>
        <v>0</v>
      </c>
      <c r="BT22" s="21">
        <f t="shared" si="4"/>
        <v>0</v>
      </c>
      <c r="BU22" s="21">
        <f t="shared" si="4"/>
        <v>0</v>
      </c>
      <c r="BV22" s="21">
        <f t="shared" si="4"/>
        <v>0</v>
      </c>
      <c r="BW22" s="21">
        <f>+Y22-AX22</f>
        <v>0</v>
      </c>
      <c r="BX22" s="21">
        <f t="shared" si="5"/>
        <v>0</v>
      </c>
      <c r="BY22" s="21">
        <f t="shared" si="5"/>
        <v>0</v>
      </c>
      <c r="BZ22" s="21">
        <f t="shared" si="5"/>
        <v>0</v>
      </c>
      <c r="CA22" s="21">
        <f t="shared" si="5"/>
        <v>0</v>
      </c>
      <c r="CB22" s="21">
        <f t="shared" si="5"/>
        <v>0</v>
      </c>
      <c r="CC22" s="21">
        <f t="shared" si="5"/>
        <v>0</v>
      </c>
      <c r="CD22" s="21">
        <f t="shared" si="5"/>
        <v>0</v>
      </c>
      <c r="CE22" s="23">
        <f t="shared" si="6"/>
        <v>0.99033865224416684</v>
      </c>
      <c r="CF22" s="21">
        <f t="shared" si="7"/>
        <v>15000000</v>
      </c>
      <c r="CG22" s="21"/>
      <c r="CH22" s="21"/>
      <c r="CI22" s="21"/>
      <c r="CJ22" s="21"/>
      <c r="CK22" s="21"/>
      <c r="CL22" s="21"/>
      <c r="CM22" s="21"/>
      <c r="CN22" s="21"/>
      <c r="CO22" s="21"/>
      <c r="CP22" s="21"/>
      <c r="CQ22" s="21"/>
      <c r="CR22" s="21"/>
      <c r="CS22" s="21"/>
      <c r="CT22" s="21"/>
      <c r="CU22" s="21"/>
      <c r="CV22" s="21"/>
      <c r="CW22" s="21">
        <f>+'[4]Acuerdo PLAN INVERSIÓN 2021'!$H$277</f>
        <v>15000000</v>
      </c>
      <c r="CX22" s="21"/>
      <c r="CY22" s="21"/>
      <c r="CZ22" s="21"/>
      <c r="DA22" s="21"/>
      <c r="DB22" s="21"/>
      <c r="DC22" s="21"/>
      <c r="DD22" s="23">
        <f t="shared" si="8"/>
        <v>9.6613477558331606E-3</v>
      </c>
      <c r="DE22" s="21">
        <f t="shared" si="13"/>
        <v>146334</v>
      </c>
      <c r="DF22" s="21">
        <f t="shared" si="9"/>
        <v>0</v>
      </c>
      <c r="DG22" s="21">
        <f t="shared" si="9"/>
        <v>146334</v>
      </c>
      <c r="DH22" s="21">
        <f t="shared" si="9"/>
        <v>0</v>
      </c>
      <c r="DI22" s="21">
        <f t="shared" si="9"/>
        <v>0</v>
      </c>
      <c r="DJ22" s="21">
        <f t="shared" si="9"/>
        <v>0</v>
      </c>
      <c r="DK22" s="21">
        <f t="shared" si="9"/>
        <v>0</v>
      </c>
      <c r="DL22" s="21">
        <f t="shared" si="9"/>
        <v>0</v>
      </c>
      <c r="DM22" s="21">
        <f t="shared" si="9"/>
        <v>0</v>
      </c>
      <c r="DN22" s="21">
        <f t="shared" si="9"/>
        <v>0</v>
      </c>
      <c r="DO22" s="21">
        <f t="shared" si="9"/>
        <v>0</v>
      </c>
      <c r="DP22" s="21">
        <f t="shared" si="9"/>
        <v>0</v>
      </c>
      <c r="DQ22" s="21">
        <f t="shared" si="9"/>
        <v>0</v>
      </c>
      <c r="DR22" s="21">
        <f t="shared" si="9"/>
        <v>0</v>
      </c>
      <c r="DS22" s="21">
        <f t="shared" si="9"/>
        <v>0</v>
      </c>
      <c r="DT22" s="21">
        <f t="shared" si="9"/>
        <v>0</v>
      </c>
      <c r="DU22" s="21">
        <f>+Y22-CV22</f>
        <v>0</v>
      </c>
      <c r="DV22" s="21">
        <f t="shared" si="10"/>
        <v>0</v>
      </c>
      <c r="DW22" s="21">
        <f t="shared" si="10"/>
        <v>0</v>
      </c>
      <c r="DX22" s="21">
        <f t="shared" si="10"/>
        <v>0</v>
      </c>
      <c r="DY22" s="21">
        <f t="shared" si="10"/>
        <v>0</v>
      </c>
      <c r="DZ22" s="21">
        <f t="shared" si="10"/>
        <v>0</v>
      </c>
      <c r="EA22" s="21">
        <f t="shared" si="10"/>
        <v>0</v>
      </c>
      <c r="EB22" s="21">
        <f t="shared" si="10"/>
        <v>0</v>
      </c>
    </row>
    <row r="23" spans="1:137" ht="39.75" hidden="1" customHeight="1" x14ac:dyDescent="0.25">
      <c r="A23" s="28"/>
      <c r="B23" s="193"/>
      <c r="C23" s="33" t="s">
        <v>95</v>
      </c>
      <c r="D23" s="29" t="s">
        <v>96</v>
      </c>
      <c r="E23" s="19">
        <v>510</v>
      </c>
      <c r="F23" s="20" t="s">
        <v>97</v>
      </c>
      <c r="G23" s="21">
        <f t="shared" si="0"/>
        <v>98465974</v>
      </c>
      <c r="H23" s="22">
        <v>150000000</v>
      </c>
      <c r="I23" s="22">
        <f t="shared" si="11"/>
        <v>51534026</v>
      </c>
      <c r="J23" s="21"/>
      <c r="K23" s="21">
        <f>65000000+1465974</f>
        <v>66465974</v>
      </c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>
        <f>32000000+5000000-5000000</f>
        <v>32000000</v>
      </c>
      <c r="AG23" s="23">
        <f t="shared" si="1"/>
        <v>0.70793956702241123</v>
      </c>
      <c r="AH23" s="21">
        <f t="shared" si="2"/>
        <v>69707959</v>
      </c>
      <c r="AI23" s="21"/>
      <c r="AJ23" s="21">
        <f>+'[1]Acuerdo PLAN INVERSIÓN 2021'!$J$570</f>
        <v>55163242</v>
      </c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>
        <f>+'[1]Acuerdo PLAN INVERSIÓN 2021'!$AF$570</f>
        <v>14544717</v>
      </c>
      <c r="BF23" s="23">
        <f t="shared" si="12"/>
        <v>0.29206043297758877</v>
      </c>
      <c r="BG23" s="21">
        <f t="shared" si="3"/>
        <v>28758015</v>
      </c>
      <c r="BH23" s="21">
        <f t="shared" ref="BH23:BV24" si="14">+J23-AI23</f>
        <v>0</v>
      </c>
      <c r="BI23" s="21">
        <f t="shared" si="14"/>
        <v>11302732</v>
      </c>
      <c r="BJ23" s="21">
        <f t="shared" si="14"/>
        <v>0</v>
      </c>
      <c r="BK23" s="21">
        <f t="shared" si="14"/>
        <v>0</v>
      </c>
      <c r="BL23" s="21">
        <f t="shared" si="14"/>
        <v>0</v>
      </c>
      <c r="BM23" s="21">
        <f t="shared" si="14"/>
        <v>0</v>
      </c>
      <c r="BN23" s="21">
        <f t="shared" si="14"/>
        <v>0</v>
      </c>
      <c r="BO23" s="21">
        <f t="shared" si="14"/>
        <v>0</v>
      </c>
      <c r="BP23" s="21">
        <f t="shared" si="14"/>
        <v>0</v>
      </c>
      <c r="BQ23" s="21">
        <f t="shared" si="14"/>
        <v>0</v>
      </c>
      <c r="BR23" s="21">
        <f t="shared" si="14"/>
        <v>0</v>
      </c>
      <c r="BS23" s="21">
        <f t="shared" si="14"/>
        <v>0</v>
      </c>
      <c r="BT23" s="21">
        <f t="shared" si="14"/>
        <v>0</v>
      </c>
      <c r="BU23" s="21">
        <f t="shared" si="14"/>
        <v>0</v>
      </c>
      <c r="BV23" s="21">
        <f t="shared" si="14"/>
        <v>0</v>
      </c>
      <c r="BW23" s="21">
        <f>+Y23-AX23</f>
        <v>0</v>
      </c>
      <c r="BX23" s="21">
        <f t="shared" si="5"/>
        <v>0</v>
      </c>
      <c r="BY23" s="21">
        <f t="shared" si="5"/>
        <v>0</v>
      </c>
      <c r="BZ23" s="21">
        <f t="shared" si="5"/>
        <v>0</v>
      </c>
      <c r="CA23" s="21">
        <f t="shared" si="5"/>
        <v>0</v>
      </c>
      <c r="CB23" s="21">
        <f t="shared" si="5"/>
        <v>0</v>
      </c>
      <c r="CC23" s="21">
        <f t="shared" si="5"/>
        <v>0</v>
      </c>
      <c r="CD23" s="21">
        <f t="shared" si="5"/>
        <v>17455283</v>
      </c>
      <c r="CE23" s="23">
        <f t="shared" si="6"/>
        <v>0.70793956702241123</v>
      </c>
      <c r="CF23" s="21">
        <f t="shared" si="7"/>
        <v>69707959</v>
      </c>
      <c r="CG23" s="21"/>
      <c r="CH23" s="21">
        <f>+'[5]Acuerdo PLAN INVERSIÓN 2021'!$H$548+'[5]Acuerdo PLAN INVERSIÓN 2021'!$H$551+'[5]Acuerdo PLAN INVERSIÓN 2021'!$H$565+'[5]Acuerdo PLAN INVERSIÓN 2021'!$H$576</f>
        <v>55163242</v>
      </c>
      <c r="CI23" s="21"/>
      <c r="CJ23" s="21"/>
      <c r="CK23" s="21"/>
      <c r="CL23" s="21"/>
      <c r="CM23" s="21"/>
      <c r="CN23" s="21"/>
      <c r="CO23" s="21"/>
      <c r="CP23" s="21"/>
      <c r="CQ23" s="21"/>
      <c r="CR23" s="21"/>
      <c r="CS23" s="21"/>
      <c r="CT23" s="21"/>
      <c r="CU23" s="21"/>
      <c r="CV23" s="21"/>
      <c r="CW23" s="21"/>
      <c r="CX23" s="21"/>
      <c r="CY23" s="21"/>
      <c r="CZ23" s="21"/>
      <c r="DA23" s="21"/>
      <c r="DB23" s="21"/>
      <c r="DC23" s="21">
        <f>+'[1]Acuerdo PLAN INVERSIÓN 2021'!$AF$570</f>
        <v>14544717</v>
      </c>
      <c r="DD23" s="23">
        <f t="shared" si="8"/>
        <v>0.29206043297758877</v>
      </c>
      <c r="DE23" s="21">
        <f t="shared" si="13"/>
        <v>28758015</v>
      </c>
      <c r="DF23" s="21">
        <f t="shared" ref="DF23:DT24" si="15">+J23-CG23</f>
        <v>0</v>
      </c>
      <c r="DG23" s="21">
        <f t="shared" si="15"/>
        <v>11302732</v>
      </c>
      <c r="DH23" s="21">
        <f t="shared" si="15"/>
        <v>0</v>
      </c>
      <c r="DI23" s="21">
        <f t="shared" si="15"/>
        <v>0</v>
      </c>
      <c r="DJ23" s="21">
        <f t="shared" si="15"/>
        <v>0</v>
      </c>
      <c r="DK23" s="21">
        <f t="shared" si="15"/>
        <v>0</v>
      </c>
      <c r="DL23" s="21">
        <f t="shared" si="15"/>
        <v>0</v>
      </c>
      <c r="DM23" s="21">
        <f t="shared" si="15"/>
        <v>0</v>
      </c>
      <c r="DN23" s="21">
        <f t="shared" si="15"/>
        <v>0</v>
      </c>
      <c r="DO23" s="21">
        <f t="shared" si="15"/>
        <v>0</v>
      </c>
      <c r="DP23" s="21">
        <f t="shared" si="15"/>
        <v>0</v>
      </c>
      <c r="DQ23" s="21">
        <f t="shared" si="15"/>
        <v>0</v>
      </c>
      <c r="DR23" s="21">
        <f t="shared" si="15"/>
        <v>0</v>
      </c>
      <c r="DS23" s="21">
        <f t="shared" si="15"/>
        <v>0</v>
      </c>
      <c r="DT23" s="21">
        <f t="shared" si="15"/>
        <v>0</v>
      </c>
      <c r="DU23" s="21">
        <f>+Y23-CV23</f>
        <v>0</v>
      </c>
      <c r="DV23" s="21">
        <f t="shared" si="10"/>
        <v>0</v>
      </c>
      <c r="DW23" s="21">
        <f t="shared" si="10"/>
        <v>0</v>
      </c>
      <c r="DX23" s="21">
        <f t="shared" si="10"/>
        <v>0</v>
      </c>
      <c r="DY23" s="21">
        <f t="shared" si="10"/>
        <v>0</v>
      </c>
      <c r="DZ23" s="21">
        <f t="shared" si="10"/>
        <v>0</v>
      </c>
      <c r="EA23" s="21">
        <f t="shared" si="10"/>
        <v>0</v>
      </c>
      <c r="EB23" s="21">
        <f t="shared" si="10"/>
        <v>17455283</v>
      </c>
    </row>
    <row r="24" spans="1:137" ht="36" hidden="1" customHeight="1" x14ac:dyDescent="0.25">
      <c r="A24" s="28"/>
      <c r="B24" s="194"/>
      <c r="C24" s="33" t="s">
        <v>98</v>
      </c>
      <c r="D24" s="29" t="s">
        <v>99</v>
      </c>
      <c r="E24" s="19">
        <v>510</v>
      </c>
      <c r="F24" s="20" t="s">
        <v>94</v>
      </c>
      <c r="G24" s="21">
        <f t="shared" si="0"/>
        <v>29046667</v>
      </c>
      <c r="H24" s="22">
        <v>100000000</v>
      </c>
      <c r="I24" s="22">
        <f t="shared" si="11"/>
        <v>70953333</v>
      </c>
      <c r="J24" s="21"/>
      <c r="K24" s="21">
        <v>8227425</v>
      </c>
      <c r="L24" s="21"/>
      <c r="M24" s="21"/>
      <c r="N24" s="21"/>
      <c r="O24" s="21"/>
      <c r="P24" s="21"/>
      <c r="Q24" s="21"/>
      <c r="R24" s="21"/>
      <c r="S24" s="21"/>
      <c r="T24" s="21"/>
      <c r="U24" s="21">
        <v>5819242</v>
      </c>
      <c r="V24" s="21"/>
      <c r="W24" s="21"/>
      <c r="X24" s="21"/>
      <c r="Y24" s="21"/>
      <c r="Z24" s="21">
        <v>15000000</v>
      </c>
      <c r="AA24" s="21"/>
      <c r="AB24" s="21"/>
      <c r="AC24" s="21"/>
      <c r="AD24" s="21"/>
      <c r="AE24" s="21"/>
      <c r="AF24" s="21"/>
      <c r="AG24" s="23">
        <f t="shared" si="1"/>
        <v>0.70644941810363304</v>
      </c>
      <c r="AH24" s="21">
        <f t="shared" si="2"/>
        <v>20520001</v>
      </c>
      <c r="AI24" s="21"/>
      <c r="AJ24" s="21">
        <f>+'[1]Acuerdo PLAN INVERSIÓN 2021'!$J$605</f>
        <v>6114092</v>
      </c>
      <c r="AK24" s="21"/>
      <c r="AL24" s="21"/>
      <c r="AM24" s="21"/>
      <c r="AN24" s="21"/>
      <c r="AO24" s="21"/>
      <c r="AP24" s="21"/>
      <c r="AQ24" s="21"/>
      <c r="AR24" s="21"/>
      <c r="AS24" s="21"/>
      <c r="AT24" s="21">
        <f>+'[10]Acuerdo PLAN INVERSIÓN 2021'!$O$217</f>
        <v>5819242</v>
      </c>
      <c r="AU24" s="21"/>
      <c r="AV24" s="21"/>
      <c r="AW24" s="21"/>
      <c r="AX24" s="21"/>
      <c r="AY24" s="21">
        <f>+'[1]Acuerdo PLAN INVERSIÓN 2021'!$AA$605</f>
        <v>8586667</v>
      </c>
      <c r="AZ24" s="21"/>
      <c r="BA24" s="21"/>
      <c r="BB24" s="21"/>
      <c r="BC24" s="21"/>
      <c r="BD24" s="21"/>
      <c r="BE24" s="21"/>
      <c r="BF24" s="23">
        <f t="shared" si="12"/>
        <v>0.29355058189636696</v>
      </c>
      <c r="BG24" s="21">
        <f t="shared" si="3"/>
        <v>8526666</v>
      </c>
      <c r="BH24" s="21">
        <f t="shared" si="14"/>
        <v>0</v>
      </c>
      <c r="BI24" s="21">
        <f t="shared" si="14"/>
        <v>2113333</v>
      </c>
      <c r="BJ24" s="21">
        <f t="shared" si="14"/>
        <v>0</v>
      </c>
      <c r="BK24" s="21">
        <f t="shared" si="14"/>
        <v>0</v>
      </c>
      <c r="BL24" s="21">
        <f t="shared" si="14"/>
        <v>0</v>
      </c>
      <c r="BM24" s="21">
        <f t="shared" si="14"/>
        <v>0</v>
      </c>
      <c r="BN24" s="21">
        <f t="shared" si="14"/>
        <v>0</v>
      </c>
      <c r="BO24" s="21">
        <f t="shared" si="14"/>
        <v>0</v>
      </c>
      <c r="BP24" s="21">
        <f t="shared" si="14"/>
        <v>0</v>
      </c>
      <c r="BQ24" s="21">
        <f t="shared" si="14"/>
        <v>0</v>
      </c>
      <c r="BR24" s="21">
        <f t="shared" si="14"/>
        <v>0</v>
      </c>
      <c r="BS24" s="21">
        <f t="shared" si="14"/>
        <v>0</v>
      </c>
      <c r="BT24" s="21">
        <f t="shared" si="14"/>
        <v>0</v>
      </c>
      <c r="BU24" s="21">
        <f t="shared" si="14"/>
        <v>0</v>
      </c>
      <c r="BV24" s="21">
        <f t="shared" si="14"/>
        <v>0</v>
      </c>
      <c r="BW24" s="21">
        <f>+Y24-AX24</f>
        <v>0</v>
      </c>
      <c r="BX24" s="21">
        <f t="shared" si="5"/>
        <v>6413333</v>
      </c>
      <c r="BY24" s="21">
        <f t="shared" si="5"/>
        <v>0</v>
      </c>
      <c r="BZ24" s="21">
        <f t="shared" si="5"/>
        <v>0</v>
      </c>
      <c r="CA24" s="21">
        <f t="shared" si="5"/>
        <v>0</v>
      </c>
      <c r="CB24" s="21">
        <f t="shared" si="5"/>
        <v>0</v>
      </c>
      <c r="CC24" s="21">
        <f t="shared" si="5"/>
        <v>0</v>
      </c>
      <c r="CD24" s="21">
        <f t="shared" si="5"/>
        <v>0</v>
      </c>
      <c r="CE24" s="23">
        <f t="shared" si="6"/>
        <v>0.70644941810363304</v>
      </c>
      <c r="CF24" s="21">
        <f t="shared" si="7"/>
        <v>20520001</v>
      </c>
      <c r="CG24" s="21"/>
      <c r="CH24" s="21">
        <f>+'[11]Acuerdo PLAN INVERSIÓN 2021'!$H$253</f>
        <v>6114092</v>
      </c>
      <c r="CI24" s="21"/>
      <c r="CJ24" s="21"/>
      <c r="CK24" s="21"/>
      <c r="CL24" s="21"/>
      <c r="CM24" s="21"/>
      <c r="CN24" s="21"/>
      <c r="CO24" s="21"/>
      <c r="CP24" s="21"/>
      <c r="CQ24" s="21"/>
      <c r="CR24" s="21">
        <f>+'[11]Acuerdo PLAN INVERSIÓN 2021'!$H$249</f>
        <v>5819242</v>
      </c>
      <c r="CS24" s="21"/>
      <c r="CT24" s="21"/>
      <c r="CU24" s="21"/>
      <c r="CV24" s="21"/>
      <c r="CW24" s="21">
        <f>+'[5]Acuerdo PLAN INVERSIÓN 2021'!$H$590</f>
        <v>8586667</v>
      </c>
      <c r="CX24" s="21"/>
      <c r="CY24" s="21"/>
      <c r="CZ24" s="21"/>
      <c r="DA24" s="21"/>
      <c r="DB24" s="21"/>
      <c r="DC24" s="21"/>
      <c r="DD24" s="23">
        <f t="shared" si="8"/>
        <v>0.29355058189636696</v>
      </c>
      <c r="DE24" s="21">
        <f t="shared" si="13"/>
        <v>8526666</v>
      </c>
      <c r="DF24" s="21">
        <f t="shared" si="15"/>
        <v>0</v>
      </c>
      <c r="DG24" s="21">
        <f t="shared" si="15"/>
        <v>2113333</v>
      </c>
      <c r="DH24" s="21">
        <f t="shared" si="15"/>
        <v>0</v>
      </c>
      <c r="DI24" s="21">
        <f t="shared" si="15"/>
        <v>0</v>
      </c>
      <c r="DJ24" s="21">
        <f t="shared" si="15"/>
        <v>0</v>
      </c>
      <c r="DK24" s="21">
        <f t="shared" si="15"/>
        <v>0</v>
      </c>
      <c r="DL24" s="21">
        <f t="shared" si="15"/>
        <v>0</v>
      </c>
      <c r="DM24" s="21">
        <f t="shared" si="15"/>
        <v>0</v>
      </c>
      <c r="DN24" s="21">
        <f t="shared" si="15"/>
        <v>0</v>
      </c>
      <c r="DO24" s="21">
        <f t="shared" si="15"/>
        <v>0</v>
      </c>
      <c r="DP24" s="21">
        <f t="shared" si="15"/>
        <v>0</v>
      </c>
      <c r="DQ24" s="21">
        <f t="shared" si="15"/>
        <v>0</v>
      </c>
      <c r="DR24" s="21">
        <f t="shared" si="15"/>
        <v>0</v>
      </c>
      <c r="DS24" s="21">
        <f t="shared" si="15"/>
        <v>0</v>
      </c>
      <c r="DT24" s="21">
        <f t="shared" si="15"/>
        <v>0</v>
      </c>
      <c r="DU24" s="21">
        <f>+Y24-CV24</f>
        <v>0</v>
      </c>
      <c r="DV24" s="21">
        <f t="shared" si="10"/>
        <v>6413333</v>
      </c>
      <c r="DW24" s="21">
        <f t="shared" si="10"/>
        <v>0</v>
      </c>
      <c r="DX24" s="21">
        <f t="shared" si="10"/>
        <v>0</v>
      </c>
      <c r="DY24" s="21">
        <f t="shared" si="10"/>
        <v>0</v>
      </c>
      <c r="DZ24" s="21">
        <f t="shared" si="10"/>
        <v>0</v>
      </c>
      <c r="EA24" s="21">
        <f t="shared" si="10"/>
        <v>0</v>
      </c>
      <c r="EB24" s="21">
        <f t="shared" si="10"/>
        <v>0</v>
      </c>
      <c r="ED24" s="133"/>
      <c r="EE24" s="39">
        <f>+G24</f>
        <v>29046667</v>
      </c>
      <c r="EF24" s="39">
        <f>+CF24</f>
        <v>20520001</v>
      </c>
      <c r="EG24" s="134">
        <f>+CE24</f>
        <v>0.70644941810363304</v>
      </c>
    </row>
    <row r="25" spans="1:137" s="38" customFormat="1" ht="17.25" customHeight="1" thickBot="1" x14ac:dyDescent="0.35">
      <c r="A25" s="37"/>
      <c r="B25" s="213" t="s">
        <v>100</v>
      </c>
      <c r="C25" s="214"/>
      <c r="D25" s="214"/>
      <c r="E25" s="215"/>
      <c r="F25" s="118"/>
      <c r="G25" s="119">
        <f t="shared" ref="G25:AF25" si="16">SUM(G7:G24)</f>
        <v>2672814183</v>
      </c>
      <c r="H25" s="120">
        <f t="shared" si="16"/>
        <v>2981877636</v>
      </c>
      <c r="I25" s="120">
        <f t="shared" si="16"/>
        <v>309063453</v>
      </c>
      <c r="J25" s="119">
        <f t="shared" si="16"/>
        <v>0</v>
      </c>
      <c r="K25" s="119">
        <f t="shared" si="16"/>
        <v>462145120</v>
      </c>
      <c r="L25" s="119">
        <f t="shared" si="16"/>
        <v>0</v>
      </c>
      <c r="M25" s="119">
        <f t="shared" si="16"/>
        <v>592050814</v>
      </c>
      <c r="N25" s="119">
        <f t="shared" si="16"/>
        <v>0</v>
      </c>
      <c r="O25" s="119">
        <f t="shared" si="16"/>
        <v>0</v>
      </c>
      <c r="P25" s="119">
        <f t="shared" si="16"/>
        <v>0</v>
      </c>
      <c r="Q25" s="119">
        <f t="shared" si="16"/>
        <v>0</v>
      </c>
      <c r="R25" s="119">
        <f t="shared" si="16"/>
        <v>0</v>
      </c>
      <c r="S25" s="119">
        <f t="shared" si="16"/>
        <v>0</v>
      </c>
      <c r="T25" s="119">
        <f t="shared" si="16"/>
        <v>0</v>
      </c>
      <c r="U25" s="119">
        <f t="shared" si="16"/>
        <v>31272076</v>
      </c>
      <c r="V25" s="119">
        <f t="shared" si="16"/>
        <v>0</v>
      </c>
      <c r="W25" s="119">
        <f t="shared" si="16"/>
        <v>0</v>
      </c>
      <c r="X25" s="119">
        <f t="shared" si="16"/>
        <v>0</v>
      </c>
      <c r="Y25" s="119">
        <f t="shared" si="16"/>
        <v>0</v>
      </c>
      <c r="Z25" s="119">
        <f t="shared" si="16"/>
        <v>752000000</v>
      </c>
      <c r="AA25" s="119">
        <f t="shared" si="16"/>
        <v>13636130</v>
      </c>
      <c r="AB25" s="119">
        <f t="shared" si="16"/>
        <v>97168075</v>
      </c>
      <c r="AC25" s="119">
        <f t="shared" si="16"/>
        <v>0</v>
      </c>
      <c r="AD25" s="119">
        <f t="shared" si="16"/>
        <v>0</v>
      </c>
      <c r="AE25" s="119">
        <f t="shared" si="16"/>
        <v>422607964</v>
      </c>
      <c r="AF25" s="119">
        <f t="shared" si="16"/>
        <v>301934004</v>
      </c>
      <c r="AG25" s="121">
        <f t="shared" si="1"/>
        <v>0.56017603300782848</v>
      </c>
      <c r="AH25" s="122">
        <f>SUM(AH7:AH24)</f>
        <v>1497246446</v>
      </c>
      <c r="AI25" s="122">
        <f t="shared" ref="AI25:BE25" si="17">SUM(AI7:AI24)</f>
        <v>0</v>
      </c>
      <c r="AJ25" s="122">
        <f t="shared" si="17"/>
        <v>319274535</v>
      </c>
      <c r="AK25" s="122">
        <f t="shared" si="17"/>
        <v>0</v>
      </c>
      <c r="AL25" s="122">
        <f t="shared" si="17"/>
        <v>447284183</v>
      </c>
      <c r="AM25" s="122">
        <f t="shared" si="17"/>
        <v>0</v>
      </c>
      <c r="AN25" s="122">
        <f t="shared" si="17"/>
        <v>0</v>
      </c>
      <c r="AO25" s="122">
        <f t="shared" si="17"/>
        <v>0</v>
      </c>
      <c r="AP25" s="122">
        <f t="shared" si="17"/>
        <v>0</v>
      </c>
      <c r="AQ25" s="122">
        <f t="shared" si="17"/>
        <v>0</v>
      </c>
      <c r="AR25" s="122">
        <f t="shared" si="17"/>
        <v>0</v>
      </c>
      <c r="AS25" s="122">
        <f t="shared" si="17"/>
        <v>0</v>
      </c>
      <c r="AT25" s="122">
        <f t="shared" si="17"/>
        <v>23994049</v>
      </c>
      <c r="AU25" s="122">
        <f t="shared" si="17"/>
        <v>0</v>
      </c>
      <c r="AV25" s="122">
        <f t="shared" si="17"/>
        <v>0</v>
      </c>
      <c r="AW25" s="122">
        <f t="shared" si="17"/>
        <v>0</v>
      </c>
      <c r="AX25" s="122">
        <f t="shared" si="17"/>
        <v>0</v>
      </c>
      <c r="AY25" s="122">
        <f t="shared" si="17"/>
        <v>404943283</v>
      </c>
      <c r="AZ25" s="122">
        <f t="shared" si="17"/>
        <v>0</v>
      </c>
      <c r="BA25" s="122">
        <f t="shared" si="17"/>
        <v>87703330</v>
      </c>
      <c r="BB25" s="122">
        <f t="shared" si="17"/>
        <v>0</v>
      </c>
      <c r="BC25" s="122">
        <f t="shared" si="17"/>
        <v>0</v>
      </c>
      <c r="BD25" s="122">
        <f t="shared" si="17"/>
        <v>0</v>
      </c>
      <c r="BE25" s="122">
        <f t="shared" si="17"/>
        <v>214047066</v>
      </c>
      <c r="BF25" s="123">
        <f t="shared" si="12"/>
        <v>0.43982396699217152</v>
      </c>
      <c r="BG25" s="122">
        <f t="shared" ref="BG25:DC25" si="18">SUM(BG7:BG24)</f>
        <v>1175567737</v>
      </c>
      <c r="BH25" s="122">
        <f t="shared" si="18"/>
        <v>0</v>
      </c>
      <c r="BI25" s="122">
        <f t="shared" si="18"/>
        <v>142870585</v>
      </c>
      <c r="BJ25" s="122">
        <f t="shared" si="18"/>
        <v>0</v>
      </c>
      <c r="BK25" s="122">
        <f t="shared" si="18"/>
        <v>144766631</v>
      </c>
      <c r="BL25" s="122">
        <f t="shared" si="18"/>
        <v>0</v>
      </c>
      <c r="BM25" s="122">
        <f t="shared" si="18"/>
        <v>0</v>
      </c>
      <c r="BN25" s="122">
        <f t="shared" si="18"/>
        <v>0</v>
      </c>
      <c r="BO25" s="122">
        <f t="shared" si="18"/>
        <v>0</v>
      </c>
      <c r="BP25" s="122">
        <f t="shared" si="18"/>
        <v>0</v>
      </c>
      <c r="BQ25" s="122">
        <f t="shared" si="18"/>
        <v>0</v>
      </c>
      <c r="BR25" s="122">
        <f t="shared" si="18"/>
        <v>0</v>
      </c>
      <c r="BS25" s="122">
        <f t="shared" si="18"/>
        <v>7278027</v>
      </c>
      <c r="BT25" s="122">
        <f t="shared" si="18"/>
        <v>0</v>
      </c>
      <c r="BU25" s="122">
        <f t="shared" si="18"/>
        <v>0</v>
      </c>
      <c r="BV25" s="122">
        <f t="shared" si="18"/>
        <v>0</v>
      </c>
      <c r="BW25" s="122">
        <f t="shared" si="18"/>
        <v>0</v>
      </c>
      <c r="BX25" s="122">
        <f t="shared" si="18"/>
        <v>347056717</v>
      </c>
      <c r="BY25" s="122">
        <f t="shared" si="18"/>
        <v>13636130</v>
      </c>
      <c r="BZ25" s="122">
        <f t="shared" si="18"/>
        <v>9464745</v>
      </c>
      <c r="CA25" s="122">
        <f t="shared" si="18"/>
        <v>0</v>
      </c>
      <c r="CB25" s="122">
        <f t="shared" si="18"/>
        <v>0</v>
      </c>
      <c r="CC25" s="122">
        <f t="shared" si="18"/>
        <v>422607964</v>
      </c>
      <c r="CD25" s="122">
        <f t="shared" si="18"/>
        <v>87886938</v>
      </c>
      <c r="CE25" s="123">
        <f t="shared" si="6"/>
        <v>0.56017603300782848</v>
      </c>
      <c r="CF25" s="122">
        <f t="shared" si="18"/>
        <v>1497246446</v>
      </c>
      <c r="CG25" s="122">
        <f t="shared" si="18"/>
        <v>0</v>
      </c>
      <c r="CH25" s="122">
        <f t="shared" si="18"/>
        <v>319274535</v>
      </c>
      <c r="CI25" s="122">
        <f t="shared" si="18"/>
        <v>0</v>
      </c>
      <c r="CJ25" s="122">
        <f t="shared" si="18"/>
        <v>447284183</v>
      </c>
      <c r="CK25" s="122">
        <f t="shared" si="18"/>
        <v>0</v>
      </c>
      <c r="CL25" s="122">
        <f t="shared" si="18"/>
        <v>0</v>
      </c>
      <c r="CM25" s="122">
        <f t="shared" si="18"/>
        <v>0</v>
      </c>
      <c r="CN25" s="122">
        <f t="shared" si="18"/>
        <v>0</v>
      </c>
      <c r="CO25" s="122">
        <f t="shared" si="18"/>
        <v>0</v>
      </c>
      <c r="CP25" s="122">
        <f t="shared" si="18"/>
        <v>0</v>
      </c>
      <c r="CQ25" s="122">
        <f t="shared" si="18"/>
        <v>0</v>
      </c>
      <c r="CR25" s="122">
        <f t="shared" si="18"/>
        <v>23994049</v>
      </c>
      <c r="CS25" s="122">
        <f t="shared" si="18"/>
        <v>0</v>
      </c>
      <c r="CT25" s="122">
        <f t="shared" si="18"/>
        <v>0</v>
      </c>
      <c r="CU25" s="122">
        <f t="shared" si="18"/>
        <v>0</v>
      </c>
      <c r="CV25" s="122">
        <f t="shared" si="18"/>
        <v>0</v>
      </c>
      <c r="CW25" s="122">
        <f t="shared" si="18"/>
        <v>404943283</v>
      </c>
      <c r="CX25" s="122">
        <f t="shared" si="18"/>
        <v>0</v>
      </c>
      <c r="CY25" s="122">
        <f t="shared" si="18"/>
        <v>87703330</v>
      </c>
      <c r="CZ25" s="122">
        <f t="shared" si="18"/>
        <v>0</v>
      </c>
      <c r="DA25" s="122">
        <f t="shared" si="18"/>
        <v>0</v>
      </c>
      <c r="DB25" s="122">
        <f t="shared" si="18"/>
        <v>0</v>
      </c>
      <c r="DC25" s="122">
        <f t="shared" si="18"/>
        <v>214047066</v>
      </c>
      <c r="DD25" s="123">
        <f t="shared" si="8"/>
        <v>0.43982396699217152</v>
      </c>
      <c r="DE25" s="122">
        <f>SUM(DE7:DE24)</f>
        <v>1175567737</v>
      </c>
      <c r="DF25" s="122">
        <f t="shared" ref="DF25:EB25" si="19">SUM(DF7:DF24)</f>
        <v>0</v>
      </c>
      <c r="DG25" s="122">
        <f t="shared" si="19"/>
        <v>142870585</v>
      </c>
      <c r="DH25" s="122">
        <f t="shared" si="19"/>
        <v>0</v>
      </c>
      <c r="DI25" s="122">
        <f t="shared" si="19"/>
        <v>144766631</v>
      </c>
      <c r="DJ25" s="122">
        <f t="shared" si="19"/>
        <v>0</v>
      </c>
      <c r="DK25" s="122">
        <f t="shared" si="19"/>
        <v>0</v>
      </c>
      <c r="DL25" s="122">
        <f t="shared" si="19"/>
        <v>0</v>
      </c>
      <c r="DM25" s="122">
        <f t="shared" si="19"/>
        <v>0</v>
      </c>
      <c r="DN25" s="122">
        <f t="shared" si="19"/>
        <v>0</v>
      </c>
      <c r="DO25" s="122">
        <f t="shared" si="19"/>
        <v>0</v>
      </c>
      <c r="DP25" s="122">
        <f t="shared" si="19"/>
        <v>0</v>
      </c>
      <c r="DQ25" s="122">
        <f t="shared" si="19"/>
        <v>7278027</v>
      </c>
      <c r="DR25" s="122">
        <f t="shared" si="19"/>
        <v>0</v>
      </c>
      <c r="DS25" s="122">
        <f t="shared" si="19"/>
        <v>0</v>
      </c>
      <c r="DT25" s="122">
        <f t="shared" si="19"/>
        <v>0</v>
      </c>
      <c r="DU25" s="122">
        <f t="shared" si="19"/>
        <v>0</v>
      </c>
      <c r="DV25" s="122">
        <f t="shared" si="19"/>
        <v>347056717</v>
      </c>
      <c r="DW25" s="122">
        <f t="shared" si="19"/>
        <v>13636130</v>
      </c>
      <c r="DX25" s="122">
        <f t="shared" si="19"/>
        <v>9464745</v>
      </c>
      <c r="DY25" s="122">
        <f t="shared" si="19"/>
        <v>0</v>
      </c>
      <c r="DZ25" s="122">
        <f t="shared" si="19"/>
        <v>0</v>
      </c>
      <c r="EA25" s="122">
        <f t="shared" si="19"/>
        <v>422607964</v>
      </c>
      <c r="EB25" s="122">
        <f t="shared" si="19"/>
        <v>87886938</v>
      </c>
      <c r="ED25" s="133" t="s">
        <v>382</v>
      </c>
      <c r="EE25" s="39">
        <f>+G25</f>
        <v>2672814183</v>
      </c>
      <c r="EF25" s="39">
        <f>+CF25</f>
        <v>1497246446</v>
      </c>
      <c r="EG25" s="139">
        <f>+CE25</f>
        <v>0.56017603300782848</v>
      </c>
    </row>
    <row r="26" spans="1:137" ht="25.5" hidden="1" customHeight="1" thickTop="1" x14ac:dyDescent="0.25">
      <c r="A26" s="40" t="s">
        <v>101</v>
      </c>
      <c r="B26" s="171" t="s">
        <v>102</v>
      </c>
      <c r="C26" s="17" t="s">
        <v>103</v>
      </c>
      <c r="D26" s="18" t="s">
        <v>104</v>
      </c>
      <c r="E26" s="19">
        <v>410</v>
      </c>
      <c r="F26" s="20" t="s">
        <v>105</v>
      </c>
      <c r="G26" s="21">
        <f t="shared" ref="G26:G50" si="20">SUM(J26:AF26)</f>
        <v>116200000</v>
      </c>
      <c r="H26" s="22">
        <v>157000000</v>
      </c>
      <c r="I26" s="22">
        <f>H26-G26</f>
        <v>40800000</v>
      </c>
      <c r="J26" s="21"/>
      <c r="K26" s="21"/>
      <c r="L26" s="21"/>
      <c r="M26" s="21"/>
      <c r="N26" s="21"/>
      <c r="O26" s="21"/>
      <c r="P26" s="21"/>
      <c r="Q26" s="21">
        <f>30000000+14200000</f>
        <v>44200000</v>
      </c>
      <c r="R26" s="21">
        <f>7000000+20000000</f>
        <v>27000000</v>
      </c>
      <c r="S26" s="21">
        <f>10000000+10000000</f>
        <v>20000000</v>
      </c>
      <c r="T26" s="21">
        <v>10000000</v>
      </c>
      <c r="U26" s="41"/>
      <c r="V26" s="41"/>
      <c r="W26" s="41"/>
      <c r="X26" s="41">
        <f>15000000</f>
        <v>15000000</v>
      </c>
      <c r="Y26" s="41"/>
      <c r="Z26" s="21"/>
      <c r="AA26" s="41"/>
      <c r="AB26" s="41"/>
      <c r="AC26" s="41"/>
      <c r="AD26" s="41"/>
      <c r="AE26" s="41"/>
      <c r="AF26" s="41"/>
      <c r="AG26" s="42">
        <f t="shared" si="1"/>
        <v>0.48539991394148019</v>
      </c>
      <c r="AH26" s="21">
        <f t="shared" ref="AH26:AH50" si="21">SUM(AI26:BE26)</f>
        <v>56403470</v>
      </c>
      <c r="AI26" s="21"/>
      <c r="AJ26" s="21"/>
      <c r="AK26" s="21"/>
      <c r="AL26" s="21"/>
      <c r="AM26" s="21"/>
      <c r="AN26" s="21"/>
      <c r="AO26" s="21"/>
      <c r="AP26" s="21">
        <f>+'[1]Acuerdo PLAN INVERSIÓN 2021'!$S$630</f>
        <v>40346480</v>
      </c>
      <c r="AQ26" s="21">
        <f>+'[1]Acuerdo PLAN INVERSIÓN 2021'!$T$630</f>
        <v>6403666</v>
      </c>
      <c r="AR26" s="21">
        <f>+'[1]Acuerdo PLAN INVERSIÓN 2021'!$U$630</f>
        <v>4432162</v>
      </c>
      <c r="AS26" s="21">
        <f>+'[1]Acuerdo PLAN INVERSIÓN 2021'!$V$630</f>
        <v>4432162</v>
      </c>
      <c r="AT26" s="21"/>
      <c r="AU26" s="21"/>
      <c r="AV26" s="21"/>
      <c r="AW26" s="21">
        <f>+'[1]Acuerdo PLAN INVERSIÓN 2021'!$Q$630</f>
        <v>789000</v>
      </c>
      <c r="AX26" s="21"/>
      <c r="AY26" s="21"/>
      <c r="AZ26" s="21"/>
      <c r="BA26" s="21"/>
      <c r="BB26" s="21"/>
      <c r="BC26" s="21"/>
      <c r="BD26" s="21"/>
      <c r="BE26" s="21"/>
      <c r="BF26" s="42">
        <f t="shared" si="12"/>
        <v>0.51460008605851981</v>
      </c>
      <c r="BG26" s="21">
        <f t="shared" ref="BG26:BG50" si="22">SUM(BH26:CD26)</f>
        <v>59796530</v>
      </c>
      <c r="BH26" s="21">
        <f t="shared" ref="BH26:BW41" si="23">+J26-AI26</f>
        <v>0</v>
      </c>
      <c r="BI26" s="21">
        <f t="shared" si="23"/>
        <v>0</v>
      </c>
      <c r="BJ26" s="21">
        <f t="shared" si="23"/>
        <v>0</v>
      </c>
      <c r="BK26" s="21">
        <f t="shared" si="23"/>
        <v>0</v>
      </c>
      <c r="BL26" s="21">
        <f t="shared" si="23"/>
        <v>0</v>
      </c>
      <c r="BM26" s="21">
        <f t="shared" si="23"/>
        <v>0</v>
      </c>
      <c r="BN26" s="21">
        <f t="shared" si="23"/>
        <v>0</v>
      </c>
      <c r="BO26" s="21">
        <f t="shared" si="23"/>
        <v>3853520</v>
      </c>
      <c r="BP26" s="21">
        <f t="shared" si="23"/>
        <v>20596334</v>
      </c>
      <c r="BQ26" s="21">
        <f t="shared" si="23"/>
        <v>15567838</v>
      </c>
      <c r="BR26" s="21">
        <f t="shared" si="23"/>
        <v>5567838</v>
      </c>
      <c r="BS26" s="21">
        <f t="shared" si="23"/>
        <v>0</v>
      </c>
      <c r="BT26" s="21">
        <f t="shared" si="23"/>
        <v>0</v>
      </c>
      <c r="BU26" s="21">
        <f t="shared" si="23"/>
        <v>0</v>
      </c>
      <c r="BV26" s="21">
        <f t="shared" si="23"/>
        <v>14211000</v>
      </c>
      <c r="BW26" s="21">
        <f t="shared" si="23"/>
        <v>0</v>
      </c>
      <c r="BX26" s="21">
        <f t="shared" ref="BX26:CD50" si="24">+Z26-AY26</f>
        <v>0</v>
      </c>
      <c r="BY26" s="21">
        <f t="shared" si="24"/>
        <v>0</v>
      </c>
      <c r="BZ26" s="21">
        <f t="shared" si="24"/>
        <v>0</v>
      </c>
      <c r="CA26" s="21">
        <f t="shared" si="24"/>
        <v>0</v>
      </c>
      <c r="CB26" s="21">
        <f t="shared" si="24"/>
        <v>0</v>
      </c>
      <c r="CC26" s="21">
        <f t="shared" si="24"/>
        <v>0</v>
      </c>
      <c r="CD26" s="21">
        <f t="shared" si="24"/>
        <v>0</v>
      </c>
      <c r="CE26" s="42">
        <f t="shared" si="6"/>
        <v>0.48539991394148019</v>
      </c>
      <c r="CF26" s="43">
        <f t="shared" ref="CF26:CF50" si="25">SUM(CG26:DC26)</f>
        <v>56403470</v>
      </c>
      <c r="CG26" s="43"/>
      <c r="CH26" s="43"/>
      <c r="CI26" s="43"/>
      <c r="CJ26" s="43"/>
      <c r="CK26" s="43"/>
      <c r="CL26" s="43"/>
      <c r="CM26" s="43"/>
      <c r="CN26" s="21">
        <f>+'[1]Acuerdo PLAN INVERSIÓN 2021'!$S$630</f>
        <v>40346480</v>
      </c>
      <c r="CO26" s="21">
        <f>+'[1]Acuerdo PLAN INVERSIÓN 2021'!$T$630</f>
        <v>6403666</v>
      </c>
      <c r="CP26" s="21">
        <f>+'[1]Acuerdo PLAN INVERSIÓN 2021'!$U$630</f>
        <v>4432162</v>
      </c>
      <c r="CQ26" s="21">
        <f>+'[1]Acuerdo PLAN INVERSIÓN 2021'!$V$630</f>
        <v>4432162</v>
      </c>
      <c r="CR26" s="21"/>
      <c r="CS26" s="21"/>
      <c r="CT26" s="21"/>
      <c r="CU26" s="21">
        <f>+'[1]Acuerdo PLAN INVERSIÓN 2021'!$Q$630</f>
        <v>789000</v>
      </c>
      <c r="CV26" s="21"/>
      <c r="CW26" s="21"/>
      <c r="CX26" s="21"/>
      <c r="CY26" s="21"/>
      <c r="CZ26" s="21"/>
      <c r="DA26" s="21"/>
      <c r="DB26" s="21"/>
      <c r="DC26" s="43"/>
      <c r="DD26" s="42">
        <f t="shared" si="8"/>
        <v>0.51460008605851981</v>
      </c>
      <c r="DE26" s="21">
        <f t="shared" ref="DE26:DE50" si="26">SUM(DF26:EB26)</f>
        <v>59796530</v>
      </c>
      <c r="DF26" s="21">
        <f t="shared" ref="DF26:DU41" si="27">+J26-CG26</f>
        <v>0</v>
      </c>
      <c r="DG26" s="21">
        <f t="shared" si="27"/>
        <v>0</v>
      </c>
      <c r="DH26" s="21">
        <f t="shared" si="27"/>
        <v>0</v>
      </c>
      <c r="DI26" s="21">
        <f t="shared" si="27"/>
        <v>0</v>
      </c>
      <c r="DJ26" s="21">
        <f t="shared" si="27"/>
        <v>0</v>
      </c>
      <c r="DK26" s="21">
        <f t="shared" si="27"/>
        <v>0</v>
      </c>
      <c r="DL26" s="21">
        <f t="shared" si="27"/>
        <v>0</v>
      </c>
      <c r="DM26" s="21">
        <f t="shared" si="27"/>
        <v>3853520</v>
      </c>
      <c r="DN26" s="21">
        <f t="shared" si="27"/>
        <v>20596334</v>
      </c>
      <c r="DO26" s="21">
        <f t="shared" si="27"/>
        <v>15567838</v>
      </c>
      <c r="DP26" s="21">
        <f t="shared" si="27"/>
        <v>5567838</v>
      </c>
      <c r="DQ26" s="21">
        <f t="shared" si="27"/>
        <v>0</v>
      </c>
      <c r="DR26" s="21">
        <f t="shared" si="27"/>
        <v>0</v>
      </c>
      <c r="DS26" s="21">
        <f t="shared" si="27"/>
        <v>0</v>
      </c>
      <c r="DT26" s="21">
        <f t="shared" si="27"/>
        <v>14211000</v>
      </c>
      <c r="DU26" s="21">
        <f t="shared" si="27"/>
        <v>0</v>
      </c>
      <c r="DV26" s="21">
        <f t="shared" ref="DV26:EB50" si="28">+Z26-CW26</f>
        <v>0</v>
      </c>
      <c r="DW26" s="21">
        <f t="shared" si="28"/>
        <v>0</v>
      </c>
      <c r="DX26" s="21">
        <f t="shared" si="28"/>
        <v>0</v>
      </c>
      <c r="DY26" s="21">
        <f t="shared" si="28"/>
        <v>0</v>
      </c>
      <c r="DZ26" s="21">
        <f t="shared" si="28"/>
        <v>0</v>
      </c>
      <c r="EA26" s="21">
        <f t="shared" si="28"/>
        <v>0</v>
      </c>
      <c r="EB26" s="21">
        <f t="shared" si="28"/>
        <v>0</v>
      </c>
      <c r="EE26" s="39">
        <f t="shared" ref="EE26:EE89" si="29">+G26</f>
        <v>116200000</v>
      </c>
      <c r="EF26" s="39">
        <f t="shared" ref="EF26:EF89" si="30">+CF26</f>
        <v>56403470</v>
      </c>
    </row>
    <row r="27" spans="1:137" ht="21" hidden="1" customHeight="1" x14ac:dyDescent="0.25">
      <c r="A27" s="28"/>
      <c r="B27" s="173"/>
      <c r="C27" s="17" t="s">
        <v>106</v>
      </c>
      <c r="D27" s="29" t="s">
        <v>107</v>
      </c>
      <c r="E27" s="19">
        <v>410</v>
      </c>
      <c r="F27" s="20" t="s">
        <v>105</v>
      </c>
      <c r="G27" s="21">
        <f t="shared" si="20"/>
        <v>13000000</v>
      </c>
      <c r="H27" s="22">
        <v>38400000</v>
      </c>
      <c r="I27" s="22">
        <f t="shared" ref="I27:I50" si="31">H27-G27</f>
        <v>25400000</v>
      </c>
      <c r="J27" s="21"/>
      <c r="K27" s="21">
        <v>10000000</v>
      </c>
      <c r="L27" s="21"/>
      <c r="M27" s="21"/>
      <c r="N27" s="21"/>
      <c r="O27" s="21"/>
      <c r="P27" s="21"/>
      <c r="Q27" s="21">
        <f>3000000</f>
        <v>3000000</v>
      </c>
      <c r="R27" s="41"/>
      <c r="S27" s="41"/>
      <c r="T27" s="41"/>
      <c r="U27" s="21"/>
      <c r="V27" s="21"/>
      <c r="W27" s="21"/>
      <c r="X27" s="21"/>
      <c r="Y27" s="21"/>
      <c r="Z27" s="21"/>
      <c r="AA27" s="21"/>
      <c r="AB27" s="21"/>
      <c r="AC27" s="21"/>
      <c r="AD27" s="21"/>
      <c r="AE27" s="21"/>
      <c r="AF27" s="41"/>
      <c r="AG27" s="23">
        <f t="shared" si="1"/>
        <v>1</v>
      </c>
      <c r="AH27" s="21">
        <f t="shared" si="21"/>
        <v>13000000</v>
      </c>
      <c r="AI27" s="21"/>
      <c r="AJ27" s="21">
        <f>+'[7]Acuerdo PLAN INVERSIÓN 2021'!$J$418</f>
        <v>10000000</v>
      </c>
      <c r="AK27" s="21"/>
      <c r="AL27" s="21"/>
      <c r="AM27" s="21"/>
      <c r="AN27" s="21"/>
      <c r="AO27" s="21"/>
      <c r="AP27" s="21">
        <v>3000000</v>
      </c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1"/>
      <c r="BF27" s="23">
        <f t="shared" si="12"/>
        <v>0</v>
      </c>
      <c r="BG27" s="21">
        <f t="shared" si="22"/>
        <v>0</v>
      </c>
      <c r="BH27" s="21">
        <f t="shared" si="23"/>
        <v>0</v>
      </c>
      <c r="BI27" s="21">
        <f t="shared" si="23"/>
        <v>0</v>
      </c>
      <c r="BJ27" s="21">
        <f t="shared" si="23"/>
        <v>0</v>
      </c>
      <c r="BK27" s="21">
        <f t="shared" si="23"/>
        <v>0</v>
      </c>
      <c r="BL27" s="21">
        <f t="shared" si="23"/>
        <v>0</v>
      </c>
      <c r="BM27" s="21">
        <f t="shared" si="23"/>
        <v>0</v>
      </c>
      <c r="BN27" s="21">
        <f t="shared" si="23"/>
        <v>0</v>
      </c>
      <c r="BO27" s="21">
        <f t="shared" si="23"/>
        <v>0</v>
      </c>
      <c r="BP27" s="21">
        <f t="shared" si="23"/>
        <v>0</v>
      </c>
      <c r="BQ27" s="21">
        <f t="shared" si="23"/>
        <v>0</v>
      </c>
      <c r="BR27" s="21">
        <f t="shared" si="23"/>
        <v>0</v>
      </c>
      <c r="BS27" s="21">
        <f t="shared" si="23"/>
        <v>0</v>
      </c>
      <c r="BT27" s="21">
        <f t="shared" si="23"/>
        <v>0</v>
      </c>
      <c r="BU27" s="21">
        <f t="shared" si="23"/>
        <v>0</v>
      </c>
      <c r="BV27" s="21">
        <f t="shared" si="23"/>
        <v>0</v>
      </c>
      <c r="BW27" s="21">
        <f t="shared" si="23"/>
        <v>0</v>
      </c>
      <c r="BX27" s="21">
        <f t="shared" si="24"/>
        <v>0</v>
      </c>
      <c r="BY27" s="21">
        <f t="shared" si="24"/>
        <v>0</v>
      </c>
      <c r="BZ27" s="21">
        <f t="shared" si="24"/>
        <v>0</v>
      </c>
      <c r="CA27" s="21">
        <f t="shared" si="24"/>
        <v>0</v>
      </c>
      <c r="CB27" s="21">
        <f t="shared" si="24"/>
        <v>0</v>
      </c>
      <c r="CC27" s="21">
        <f t="shared" si="24"/>
        <v>0</v>
      </c>
      <c r="CD27" s="21">
        <f t="shared" si="24"/>
        <v>0</v>
      </c>
      <c r="CE27" s="23">
        <f t="shared" si="6"/>
        <v>1</v>
      </c>
      <c r="CF27" s="21">
        <f t="shared" si="25"/>
        <v>13000000</v>
      </c>
      <c r="CG27" s="21"/>
      <c r="CH27" s="21">
        <f>+'[3]Acuerdo PLAN INVERSIÓN 2021'!$H$480+'[3]Acuerdo PLAN INVERSIÓN 2021'!$H$487</f>
        <v>10000000</v>
      </c>
      <c r="CI27" s="21"/>
      <c r="CJ27" s="21"/>
      <c r="CK27" s="21"/>
      <c r="CL27" s="21"/>
      <c r="CM27" s="21"/>
      <c r="CN27" s="21">
        <f>+'[3]Acuerdo PLAN INVERSIÓN 2021'!$H$483</f>
        <v>3000000</v>
      </c>
      <c r="CO27" s="21"/>
      <c r="CP27" s="21"/>
      <c r="CQ27" s="21"/>
      <c r="CR27" s="21"/>
      <c r="CS27" s="21"/>
      <c r="CT27" s="21"/>
      <c r="CU27" s="21"/>
      <c r="CV27" s="21"/>
      <c r="CW27" s="21"/>
      <c r="CX27" s="21"/>
      <c r="CY27" s="21"/>
      <c r="CZ27" s="21"/>
      <c r="DA27" s="21"/>
      <c r="DB27" s="21"/>
      <c r="DC27" s="21"/>
      <c r="DD27" s="23">
        <f t="shared" si="8"/>
        <v>0</v>
      </c>
      <c r="DE27" s="21">
        <f t="shared" si="26"/>
        <v>0</v>
      </c>
      <c r="DF27" s="21">
        <f t="shared" si="27"/>
        <v>0</v>
      </c>
      <c r="DG27" s="21">
        <f t="shared" si="27"/>
        <v>0</v>
      </c>
      <c r="DH27" s="21">
        <f t="shared" si="27"/>
        <v>0</v>
      </c>
      <c r="DI27" s="21">
        <f t="shared" si="27"/>
        <v>0</v>
      </c>
      <c r="DJ27" s="21">
        <f t="shared" si="27"/>
        <v>0</v>
      </c>
      <c r="DK27" s="21">
        <f t="shared" si="27"/>
        <v>0</v>
      </c>
      <c r="DL27" s="21">
        <f t="shared" si="27"/>
        <v>0</v>
      </c>
      <c r="DM27" s="21">
        <f t="shared" si="27"/>
        <v>0</v>
      </c>
      <c r="DN27" s="21">
        <f t="shared" si="27"/>
        <v>0</v>
      </c>
      <c r="DO27" s="21">
        <f t="shared" si="27"/>
        <v>0</v>
      </c>
      <c r="DP27" s="21">
        <f t="shared" si="27"/>
        <v>0</v>
      </c>
      <c r="DQ27" s="21">
        <f t="shared" si="27"/>
        <v>0</v>
      </c>
      <c r="DR27" s="21">
        <f t="shared" si="27"/>
        <v>0</v>
      </c>
      <c r="DS27" s="21">
        <f t="shared" si="27"/>
        <v>0</v>
      </c>
      <c r="DT27" s="21">
        <f t="shared" si="27"/>
        <v>0</v>
      </c>
      <c r="DU27" s="21">
        <f t="shared" si="27"/>
        <v>0</v>
      </c>
      <c r="DV27" s="21">
        <f t="shared" si="28"/>
        <v>0</v>
      </c>
      <c r="DW27" s="21">
        <f t="shared" si="28"/>
        <v>0</v>
      </c>
      <c r="DX27" s="21">
        <f t="shared" si="28"/>
        <v>0</v>
      </c>
      <c r="DY27" s="21">
        <f t="shared" si="28"/>
        <v>0</v>
      </c>
      <c r="DZ27" s="21">
        <f t="shared" si="28"/>
        <v>0</v>
      </c>
      <c r="EA27" s="21">
        <f t="shared" si="28"/>
        <v>0</v>
      </c>
      <c r="EB27" s="21">
        <f t="shared" si="28"/>
        <v>0</v>
      </c>
      <c r="EE27" s="39">
        <f t="shared" si="29"/>
        <v>13000000</v>
      </c>
      <c r="EF27" s="39">
        <f t="shared" si="30"/>
        <v>13000000</v>
      </c>
    </row>
    <row r="28" spans="1:137" ht="39" hidden="1" customHeight="1" x14ac:dyDescent="0.25">
      <c r="A28" s="28"/>
      <c r="B28" s="196" t="s">
        <v>108</v>
      </c>
      <c r="C28" s="33" t="s">
        <v>109</v>
      </c>
      <c r="D28" s="29" t="s">
        <v>110</v>
      </c>
      <c r="E28" s="19">
        <v>410</v>
      </c>
      <c r="F28" s="20" t="s">
        <v>111</v>
      </c>
      <c r="G28" s="21">
        <f t="shared" si="20"/>
        <v>313567799</v>
      </c>
      <c r="H28" s="22">
        <v>215800000</v>
      </c>
      <c r="I28" s="22">
        <f t="shared" si="31"/>
        <v>-97767799</v>
      </c>
      <c r="J28" s="21"/>
      <c r="K28" s="21"/>
      <c r="L28" s="21"/>
      <c r="M28" s="21"/>
      <c r="N28" s="21"/>
      <c r="O28" s="21"/>
      <c r="P28" s="21"/>
      <c r="Q28" s="21">
        <f>120000000+78000000-50000000</f>
        <v>148000000</v>
      </c>
      <c r="R28" s="21">
        <f>8000000+40000000-17566990</f>
        <v>30433010</v>
      </c>
      <c r="S28" s="21">
        <f>15000000+15000000</f>
        <v>30000000</v>
      </c>
      <c r="T28" s="21">
        <v>10000000</v>
      </c>
      <c r="U28" s="21"/>
      <c r="V28" s="21"/>
      <c r="W28" s="21"/>
      <c r="X28" s="21">
        <f>45134741</f>
        <v>45134741</v>
      </c>
      <c r="Y28" s="21"/>
      <c r="Z28" s="21"/>
      <c r="AA28" s="21"/>
      <c r="AB28" s="21"/>
      <c r="AC28" s="21"/>
      <c r="AD28" s="21"/>
      <c r="AE28" s="21"/>
      <c r="AF28" s="21">
        <f>35000000+5000000+8000000+2000048</f>
        <v>50000048</v>
      </c>
      <c r="AG28" s="23">
        <f t="shared" si="1"/>
        <v>0.34480934376810801</v>
      </c>
      <c r="AH28" s="21">
        <f t="shared" si="21"/>
        <v>108121107</v>
      </c>
      <c r="AI28" s="21"/>
      <c r="AJ28" s="21"/>
      <c r="AK28" s="21"/>
      <c r="AL28" s="21"/>
      <c r="AM28" s="21"/>
      <c r="AN28" s="21"/>
      <c r="AO28" s="21"/>
      <c r="AP28" s="21">
        <f>+'[1]Acuerdo PLAN INVERSIÓN 2021'!$S$711</f>
        <v>59829317</v>
      </c>
      <c r="AQ28" s="21">
        <f>+'[1]Acuerdo PLAN INVERSIÓN 2021'!$T$711</f>
        <v>7407365</v>
      </c>
      <c r="AR28" s="21">
        <f>+'[1]Acuerdo PLAN INVERSIÓN 2021'!$U$711</f>
        <v>9500000</v>
      </c>
      <c r="AS28" s="21">
        <f>+'[1]Acuerdo PLAN INVERSIÓN 2021'!$V$711</f>
        <v>3537364</v>
      </c>
      <c r="AT28" s="21"/>
      <c r="AU28" s="21"/>
      <c r="AV28" s="21"/>
      <c r="AW28" s="21">
        <f>+'[1]Acuerdo PLAN INVERSIÓN 2021'!$Q$711</f>
        <v>6599999</v>
      </c>
      <c r="AX28" s="21"/>
      <c r="AY28" s="21"/>
      <c r="AZ28" s="21"/>
      <c r="BA28" s="21"/>
      <c r="BB28" s="21"/>
      <c r="BC28" s="21"/>
      <c r="BD28" s="21"/>
      <c r="BE28" s="21">
        <f>+'[1]Acuerdo PLAN INVERSIÓN 2021'!$AF$711</f>
        <v>21247062</v>
      </c>
      <c r="BF28" s="23">
        <f t="shared" si="12"/>
        <v>0.65519065623189199</v>
      </c>
      <c r="BG28" s="21">
        <f t="shared" si="22"/>
        <v>205446692</v>
      </c>
      <c r="BH28" s="21">
        <f t="shared" si="23"/>
        <v>0</v>
      </c>
      <c r="BI28" s="21">
        <f t="shared" si="23"/>
        <v>0</v>
      </c>
      <c r="BJ28" s="21">
        <f t="shared" si="23"/>
        <v>0</v>
      </c>
      <c r="BK28" s="21">
        <f t="shared" si="23"/>
        <v>0</v>
      </c>
      <c r="BL28" s="21">
        <f t="shared" si="23"/>
        <v>0</v>
      </c>
      <c r="BM28" s="21">
        <f t="shared" si="23"/>
        <v>0</v>
      </c>
      <c r="BN28" s="21">
        <f t="shared" si="23"/>
        <v>0</v>
      </c>
      <c r="BO28" s="21">
        <f t="shared" si="23"/>
        <v>88170683</v>
      </c>
      <c r="BP28" s="21">
        <f t="shared" si="23"/>
        <v>23025645</v>
      </c>
      <c r="BQ28" s="21">
        <f t="shared" si="23"/>
        <v>20500000</v>
      </c>
      <c r="BR28" s="21">
        <f t="shared" si="23"/>
        <v>6462636</v>
      </c>
      <c r="BS28" s="21">
        <f t="shared" si="23"/>
        <v>0</v>
      </c>
      <c r="BT28" s="21">
        <f t="shared" si="23"/>
        <v>0</v>
      </c>
      <c r="BU28" s="21">
        <f t="shared" si="23"/>
        <v>0</v>
      </c>
      <c r="BV28" s="21">
        <f t="shared" si="23"/>
        <v>38534742</v>
      </c>
      <c r="BW28" s="21">
        <f t="shared" si="23"/>
        <v>0</v>
      </c>
      <c r="BX28" s="21">
        <f t="shared" si="24"/>
        <v>0</v>
      </c>
      <c r="BY28" s="21">
        <f t="shared" si="24"/>
        <v>0</v>
      </c>
      <c r="BZ28" s="21">
        <f t="shared" si="24"/>
        <v>0</v>
      </c>
      <c r="CA28" s="21">
        <f t="shared" si="24"/>
        <v>0</v>
      </c>
      <c r="CB28" s="21">
        <f t="shared" si="24"/>
        <v>0</v>
      </c>
      <c r="CC28" s="21">
        <f t="shared" si="24"/>
        <v>0</v>
      </c>
      <c r="CD28" s="21">
        <f t="shared" si="24"/>
        <v>28752986</v>
      </c>
      <c r="CE28" s="23">
        <f t="shared" si="6"/>
        <v>0.34480934376810801</v>
      </c>
      <c r="CF28" s="21">
        <f t="shared" si="25"/>
        <v>108121107</v>
      </c>
      <c r="CG28" s="21"/>
      <c r="CH28" s="21"/>
      <c r="CI28" s="21"/>
      <c r="CJ28" s="21"/>
      <c r="CK28" s="21"/>
      <c r="CL28" s="21"/>
      <c r="CM28" s="21"/>
      <c r="CN28" s="21">
        <f>+'[1]Acuerdo PLAN INVERSIÓN 2021'!$S$711</f>
        <v>59829317</v>
      </c>
      <c r="CO28" s="21">
        <f>+'[1]Acuerdo PLAN INVERSIÓN 2021'!$T$711</f>
        <v>7407365</v>
      </c>
      <c r="CP28" s="21">
        <f>+'[1]Acuerdo PLAN INVERSIÓN 2021'!$U$711</f>
        <v>9500000</v>
      </c>
      <c r="CQ28" s="21">
        <f>+'[1]Acuerdo PLAN INVERSIÓN 2021'!$V$711</f>
        <v>3537364</v>
      </c>
      <c r="CR28" s="21"/>
      <c r="CS28" s="21"/>
      <c r="CT28" s="21"/>
      <c r="CU28" s="21">
        <f>+'[1]Acuerdo PLAN INVERSIÓN 2021'!$Q$711</f>
        <v>6599999</v>
      </c>
      <c r="CV28" s="21"/>
      <c r="CW28" s="21"/>
      <c r="CX28" s="21"/>
      <c r="CY28" s="21"/>
      <c r="CZ28" s="21"/>
      <c r="DA28" s="21"/>
      <c r="DB28" s="21"/>
      <c r="DC28" s="21">
        <f>+'[1]Acuerdo PLAN INVERSIÓN 2021'!$AF$711</f>
        <v>21247062</v>
      </c>
      <c r="DD28" s="23">
        <f t="shared" si="8"/>
        <v>0.65519065623189199</v>
      </c>
      <c r="DE28" s="21">
        <f t="shared" si="26"/>
        <v>205446692</v>
      </c>
      <c r="DF28" s="21">
        <f t="shared" si="27"/>
        <v>0</v>
      </c>
      <c r="DG28" s="21">
        <f t="shared" si="27"/>
        <v>0</v>
      </c>
      <c r="DH28" s="21">
        <f t="shared" si="27"/>
        <v>0</v>
      </c>
      <c r="DI28" s="21">
        <f t="shared" si="27"/>
        <v>0</v>
      </c>
      <c r="DJ28" s="21">
        <f t="shared" si="27"/>
        <v>0</v>
      </c>
      <c r="DK28" s="21">
        <f t="shared" si="27"/>
        <v>0</v>
      </c>
      <c r="DL28" s="21">
        <f t="shared" si="27"/>
        <v>0</v>
      </c>
      <c r="DM28" s="21">
        <f t="shared" si="27"/>
        <v>88170683</v>
      </c>
      <c r="DN28" s="21">
        <f t="shared" si="27"/>
        <v>23025645</v>
      </c>
      <c r="DO28" s="21">
        <f t="shared" si="27"/>
        <v>20500000</v>
      </c>
      <c r="DP28" s="21">
        <f t="shared" si="27"/>
        <v>6462636</v>
      </c>
      <c r="DQ28" s="21">
        <f t="shared" si="27"/>
        <v>0</v>
      </c>
      <c r="DR28" s="21">
        <f t="shared" si="27"/>
        <v>0</v>
      </c>
      <c r="DS28" s="21">
        <f t="shared" si="27"/>
        <v>0</v>
      </c>
      <c r="DT28" s="21">
        <f t="shared" si="27"/>
        <v>38534742</v>
      </c>
      <c r="DU28" s="21">
        <f t="shared" si="27"/>
        <v>0</v>
      </c>
      <c r="DV28" s="21">
        <f t="shared" si="28"/>
        <v>0</v>
      </c>
      <c r="DW28" s="21">
        <f t="shared" si="28"/>
        <v>0</v>
      </c>
      <c r="DX28" s="21">
        <f t="shared" si="28"/>
        <v>0</v>
      </c>
      <c r="DY28" s="21">
        <f t="shared" si="28"/>
        <v>0</v>
      </c>
      <c r="DZ28" s="21">
        <f t="shared" si="28"/>
        <v>0</v>
      </c>
      <c r="EA28" s="21">
        <f t="shared" si="28"/>
        <v>0</v>
      </c>
      <c r="EB28" s="21">
        <f t="shared" si="28"/>
        <v>28752986</v>
      </c>
      <c r="EE28" s="39">
        <f t="shared" si="29"/>
        <v>313567799</v>
      </c>
      <c r="EF28" s="39">
        <f t="shared" si="30"/>
        <v>108121107</v>
      </c>
    </row>
    <row r="29" spans="1:137" ht="18" hidden="1" customHeight="1" x14ac:dyDescent="0.25">
      <c r="A29" s="28"/>
      <c r="B29" s="196"/>
      <c r="C29" s="17" t="s">
        <v>112</v>
      </c>
      <c r="D29" s="29" t="s">
        <v>113</v>
      </c>
      <c r="E29" s="19">
        <v>410</v>
      </c>
      <c r="F29" s="20" t="s">
        <v>114</v>
      </c>
      <c r="G29" s="21">
        <f t="shared" si="20"/>
        <v>65000000</v>
      </c>
      <c r="H29" s="22">
        <v>49800000</v>
      </c>
      <c r="I29" s="22">
        <f t="shared" si="31"/>
        <v>-15200000</v>
      </c>
      <c r="J29" s="21"/>
      <c r="K29" s="21">
        <v>20000000</v>
      </c>
      <c r="L29" s="21"/>
      <c r="M29" s="21"/>
      <c r="N29" s="21"/>
      <c r="O29" s="21"/>
      <c r="P29" s="21"/>
      <c r="Q29" s="21">
        <f>20000000+25000000</f>
        <v>45000000</v>
      </c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3">
        <f t="shared" si="1"/>
        <v>8.3155353846153843E-2</v>
      </c>
      <c r="AH29" s="21">
        <f t="shared" si="21"/>
        <v>5405098</v>
      </c>
      <c r="AI29" s="21"/>
      <c r="AJ29" s="21"/>
      <c r="AK29" s="21"/>
      <c r="AL29" s="21"/>
      <c r="AM29" s="21"/>
      <c r="AN29" s="21"/>
      <c r="AO29" s="21"/>
      <c r="AP29" s="21">
        <f>+'[1]Acuerdo PLAN INVERSIÓN 2021'!$S$1117</f>
        <v>5405098</v>
      </c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1"/>
      <c r="BF29" s="23">
        <f t="shared" si="12"/>
        <v>0.9168446461538462</v>
      </c>
      <c r="BG29" s="21">
        <f t="shared" si="22"/>
        <v>59594902</v>
      </c>
      <c r="BH29" s="21">
        <f t="shared" si="23"/>
        <v>0</v>
      </c>
      <c r="BI29" s="21">
        <f t="shared" si="23"/>
        <v>20000000</v>
      </c>
      <c r="BJ29" s="21">
        <f t="shared" si="23"/>
        <v>0</v>
      </c>
      <c r="BK29" s="21">
        <f t="shared" si="23"/>
        <v>0</v>
      </c>
      <c r="BL29" s="21">
        <f t="shared" si="23"/>
        <v>0</v>
      </c>
      <c r="BM29" s="21">
        <f t="shared" si="23"/>
        <v>0</v>
      </c>
      <c r="BN29" s="21">
        <f t="shared" si="23"/>
        <v>0</v>
      </c>
      <c r="BO29" s="21">
        <f t="shared" si="23"/>
        <v>39594902</v>
      </c>
      <c r="BP29" s="21">
        <f t="shared" si="23"/>
        <v>0</v>
      </c>
      <c r="BQ29" s="21">
        <f t="shared" si="23"/>
        <v>0</v>
      </c>
      <c r="BR29" s="21">
        <f t="shared" si="23"/>
        <v>0</v>
      </c>
      <c r="BS29" s="21">
        <f t="shared" si="23"/>
        <v>0</v>
      </c>
      <c r="BT29" s="21">
        <f t="shared" si="23"/>
        <v>0</v>
      </c>
      <c r="BU29" s="21">
        <f t="shared" si="23"/>
        <v>0</v>
      </c>
      <c r="BV29" s="21">
        <f t="shared" si="23"/>
        <v>0</v>
      </c>
      <c r="BW29" s="21">
        <f t="shared" si="23"/>
        <v>0</v>
      </c>
      <c r="BX29" s="21">
        <f t="shared" si="24"/>
        <v>0</v>
      </c>
      <c r="BY29" s="21">
        <f t="shared" si="24"/>
        <v>0</v>
      </c>
      <c r="BZ29" s="21">
        <f t="shared" si="24"/>
        <v>0</v>
      </c>
      <c r="CA29" s="21">
        <f t="shared" si="24"/>
        <v>0</v>
      </c>
      <c r="CB29" s="21">
        <f t="shared" si="24"/>
        <v>0</v>
      </c>
      <c r="CC29" s="21">
        <f t="shared" si="24"/>
        <v>0</v>
      </c>
      <c r="CD29" s="21">
        <f t="shared" si="24"/>
        <v>0</v>
      </c>
      <c r="CE29" s="23">
        <f t="shared" si="6"/>
        <v>8.3155353846153843E-2</v>
      </c>
      <c r="CF29" s="21">
        <f t="shared" si="25"/>
        <v>5405098</v>
      </c>
      <c r="CG29" s="21"/>
      <c r="CH29" s="21"/>
      <c r="CI29" s="21"/>
      <c r="CJ29" s="21"/>
      <c r="CK29" s="21"/>
      <c r="CL29" s="21"/>
      <c r="CM29" s="21"/>
      <c r="CN29" s="21">
        <f>+'[5]Acuerdo PLAN INVERSIÓN 2021'!$H$1071</f>
        <v>5405098</v>
      </c>
      <c r="CO29" s="21"/>
      <c r="CP29" s="21"/>
      <c r="CQ29" s="21"/>
      <c r="CR29" s="21"/>
      <c r="CS29" s="21"/>
      <c r="CT29" s="21"/>
      <c r="CU29" s="21"/>
      <c r="CV29" s="21"/>
      <c r="CW29" s="21"/>
      <c r="CX29" s="21"/>
      <c r="CY29" s="21"/>
      <c r="CZ29" s="21"/>
      <c r="DA29" s="21"/>
      <c r="DB29" s="21"/>
      <c r="DC29" s="21"/>
      <c r="DD29" s="23">
        <f t="shared" si="8"/>
        <v>0.9168446461538462</v>
      </c>
      <c r="DE29" s="21">
        <f t="shared" si="26"/>
        <v>59594902</v>
      </c>
      <c r="DF29" s="21">
        <f t="shared" si="27"/>
        <v>0</v>
      </c>
      <c r="DG29" s="21">
        <f t="shared" si="27"/>
        <v>20000000</v>
      </c>
      <c r="DH29" s="21">
        <f t="shared" si="27"/>
        <v>0</v>
      </c>
      <c r="DI29" s="21">
        <f t="shared" si="27"/>
        <v>0</v>
      </c>
      <c r="DJ29" s="21">
        <f t="shared" si="27"/>
        <v>0</v>
      </c>
      <c r="DK29" s="21">
        <f t="shared" si="27"/>
        <v>0</v>
      </c>
      <c r="DL29" s="21">
        <f t="shared" si="27"/>
        <v>0</v>
      </c>
      <c r="DM29" s="21">
        <f t="shared" si="27"/>
        <v>39594902</v>
      </c>
      <c r="DN29" s="21">
        <f t="shared" si="27"/>
        <v>0</v>
      </c>
      <c r="DO29" s="21">
        <f t="shared" si="27"/>
        <v>0</v>
      </c>
      <c r="DP29" s="21">
        <f t="shared" si="27"/>
        <v>0</v>
      </c>
      <c r="DQ29" s="21">
        <f t="shared" si="27"/>
        <v>0</v>
      </c>
      <c r="DR29" s="21">
        <f t="shared" si="27"/>
        <v>0</v>
      </c>
      <c r="DS29" s="21">
        <f t="shared" si="27"/>
        <v>0</v>
      </c>
      <c r="DT29" s="21">
        <f t="shared" si="27"/>
        <v>0</v>
      </c>
      <c r="DU29" s="21">
        <f t="shared" si="27"/>
        <v>0</v>
      </c>
      <c r="DV29" s="21">
        <f t="shared" si="28"/>
        <v>0</v>
      </c>
      <c r="DW29" s="21">
        <f t="shared" si="28"/>
        <v>0</v>
      </c>
      <c r="DX29" s="21">
        <f t="shared" si="28"/>
        <v>0</v>
      </c>
      <c r="DY29" s="21">
        <f t="shared" si="28"/>
        <v>0</v>
      </c>
      <c r="DZ29" s="21">
        <f t="shared" si="28"/>
        <v>0</v>
      </c>
      <c r="EA29" s="21">
        <f t="shared" si="28"/>
        <v>0</v>
      </c>
      <c r="EB29" s="21">
        <f t="shared" si="28"/>
        <v>0</v>
      </c>
      <c r="EE29" s="39">
        <f t="shared" si="29"/>
        <v>65000000</v>
      </c>
      <c r="EF29" s="39">
        <f t="shared" si="30"/>
        <v>5405098</v>
      </c>
    </row>
    <row r="30" spans="1:137" ht="19.2" hidden="1" customHeight="1" x14ac:dyDescent="0.25">
      <c r="A30" s="28"/>
      <c r="B30" s="196"/>
      <c r="C30" s="17" t="s">
        <v>115</v>
      </c>
      <c r="D30" s="29" t="s">
        <v>116</v>
      </c>
      <c r="E30" s="19">
        <v>410</v>
      </c>
      <c r="F30" s="20" t="s">
        <v>114</v>
      </c>
      <c r="G30" s="21">
        <f t="shared" si="20"/>
        <v>1082732208</v>
      </c>
      <c r="H30" s="22">
        <v>1120500000</v>
      </c>
      <c r="I30" s="22">
        <f t="shared" si="31"/>
        <v>37767792</v>
      </c>
      <c r="J30" s="21"/>
      <c r="K30" s="21"/>
      <c r="L30" s="21"/>
      <c r="M30" s="21"/>
      <c r="N30" s="21"/>
      <c r="O30" s="21"/>
      <c r="P30" s="21"/>
      <c r="Q30" s="21">
        <f>500000000+119280494+165739636+2</f>
        <v>785020132</v>
      </c>
      <c r="R30" s="21">
        <f>17566990</f>
        <v>17566990</v>
      </c>
      <c r="S30" s="21"/>
      <c r="T30" s="21">
        <v>10000000</v>
      </c>
      <c r="U30" s="21"/>
      <c r="V30" s="21"/>
      <c r="W30" s="21"/>
      <c r="X30" s="21"/>
      <c r="Y30" s="21"/>
      <c r="Z30" s="21"/>
      <c r="AA30" s="21"/>
      <c r="AB30" s="21">
        <v>270145086</v>
      </c>
      <c r="AC30" s="21"/>
      <c r="AD30" s="21"/>
      <c r="AE30" s="21"/>
      <c r="AF30" s="21"/>
      <c r="AG30" s="23">
        <f t="shared" si="1"/>
        <v>0.34087505227331338</v>
      </c>
      <c r="AH30" s="21">
        <f t="shared" si="21"/>
        <v>369076398</v>
      </c>
      <c r="AI30" s="21"/>
      <c r="AJ30" s="21"/>
      <c r="AK30" s="21"/>
      <c r="AL30" s="21"/>
      <c r="AM30" s="21"/>
      <c r="AN30" s="21"/>
      <c r="AO30" s="21"/>
      <c r="AP30" s="21">
        <f>+'[1]Acuerdo PLAN INVERSIÓN 2021'!$S$1141</f>
        <v>343207498</v>
      </c>
      <c r="AQ30" s="21">
        <f>+'[1]Acuerdo PLAN INVERSIÓN 2021'!$T$1141</f>
        <v>9688900</v>
      </c>
      <c r="AR30" s="21"/>
      <c r="AS30" s="21">
        <f>+'[1]Acuerdo PLAN INVERSIÓN 2021'!$V$1141</f>
        <v>4080000</v>
      </c>
      <c r="AT30" s="21"/>
      <c r="AU30" s="21"/>
      <c r="AV30" s="21"/>
      <c r="AW30" s="21"/>
      <c r="AX30" s="21"/>
      <c r="AY30" s="21"/>
      <c r="AZ30" s="21"/>
      <c r="BA30" s="21">
        <f>+'[1]Acuerdo PLAN INVERSIÓN 2021'!$Y$1141</f>
        <v>12100000</v>
      </c>
      <c r="BB30" s="21"/>
      <c r="BC30" s="21"/>
      <c r="BD30" s="21"/>
      <c r="BE30" s="21"/>
      <c r="BF30" s="23">
        <f t="shared" si="12"/>
        <v>0.65912494772668662</v>
      </c>
      <c r="BG30" s="21">
        <f t="shared" si="22"/>
        <v>713655810</v>
      </c>
      <c r="BH30" s="21">
        <f t="shared" si="23"/>
        <v>0</v>
      </c>
      <c r="BI30" s="21">
        <f t="shared" si="23"/>
        <v>0</v>
      </c>
      <c r="BJ30" s="21">
        <f t="shared" si="23"/>
        <v>0</v>
      </c>
      <c r="BK30" s="21">
        <f t="shared" si="23"/>
        <v>0</v>
      </c>
      <c r="BL30" s="21">
        <f t="shared" si="23"/>
        <v>0</v>
      </c>
      <c r="BM30" s="21">
        <f t="shared" si="23"/>
        <v>0</v>
      </c>
      <c r="BN30" s="21">
        <f t="shared" si="23"/>
        <v>0</v>
      </c>
      <c r="BO30" s="21">
        <f t="shared" si="23"/>
        <v>441812634</v>
      </c>
      <c r="BP30" s="21">
        <f t="shared" si="23"/>
        <v>7878090</v>
      </c>
      <c r="BQ30" s="21">
        <f t="shared" si="23"/>
        <v>0</v>
      </c>
      <c r="BR30" s="21">
        <f t="shared" si="23"/>
        <v>5920000</v>
      </c>
      <c r="BS30" s="21">
        <f t="shared" si="23"/>
        <v>0</v>
      </c>
      <c r="BT30" s="21">
        <f t="shared" si="23"/>
        <v>0</v>
      </c>
      <c r="BU30" s="21">
        <f t="shared" si="23"/>
        <v>0</v>
      </c>
      <c r="BV30" s="21">
        <f t="shared" si="23"/>
        <v>0</v>
      </c>
      <c r="BW30" s="21">
        <f t="shared" si="23"/>
        <v>0</v>
      </c>
      <c r="BX30" s="21">
        <f t="shared" si="24"/>
        <v>0</v>
      </c>
      <c r="BY30" s="21">
        <f t="shared" si="24"/>
        <v>0</v>
      </c>
      <c r="BZ30" s="21">
        <f t="shared" si="24"/>
        <v>258045086</v>
      </c>
      <c r="CA30" s="21">
        <f t="shared" si="24"/>
        <v>0</v>
      </c>
      <c r="CB30" s="21">
        <f t="shared" si="24"/>
        <v>0</v>
      </c>
      <c r="CC30" s="21">
        <f t="shared" si="24"/>
        <v>0</v>
      </c>
      <c r="CD30" s="21">
        <f t="shared" si="24"/>
        <v>0</v>
      </c>
      <c r="CE30" s="23">
        <f t="shared" si="6"/>
        <v>0.34087505227331338</v>
      </c>
      <c r="CF30" s="21">
        <f t="shared" si="25"/>
        <v>369076398</v>
      </c>
      <c r="CG30" s="21"/>
      <c r="CH30" s="21"/>
      <c r="CI30" s="21"/>
      <c r="CJ30" s="21"/>
      <c r="CK30" s="21"/>
      <c r="CL30" s="21"/>
      <c r="CM30" s="21"/>
      <c r="CN30" s="21">
        <f>+'[1]Acuerdo PLAN INVERSIÓN 2021'!$S$1141</f>
        <v>343207498</v>
      </c>
      <c r="CO30" s="21">
        <f>+'[1]Acuerdo PLAN INVERSIÓN 2021'!$T$1141</f>
        <v>9688900</v>
      </c>
      <c r="CP30" s="21"/>
      <c r="CQ30" s="21">
        <f>+'[1]Acuerdo PLAN INVERSIÓN 2021'!$V$1141</f>
        <v>4080000</v>
      </c>
      <c r="CR30" s="21"/>
      <c r="CS30" s="21"/>
      <c r="CT30" s="21"/>
      <c r="CU30" s="21"/>
      <c r="CV30" s="21"/>
      <c r="CW30" s="21"/>
      <c r="CX30" s="21"/>
      <c r="CY30" s="21">
        <f>+'[1]Acuerdo PLAN INVERSIÓN 2021'!$Y$1141</f>
        <v>12100000</v>
      </c>
      <c r="CZ30" s="21"/>
      <c r="DA30" s="21"/>
      <c r="DB30" s="21"/>
      <c r="DC30" s="21"/>
      <c r="DD30" s="23">
        <f t="shared" si="8"/>
        <v>0.65912494772668662</v>
      </c>
      <c r="DE30" s="21">
        <f t="shared" si="26"/>
        <v>713655810</v>
      </c>
      <c r="DF30" s="21">
        <f t="shared" si="27"/>
        <v>0</v>
      </c>
      <c r="DG30" s="21">
        <f t="shared" si="27"/>
        <v>0</v>
      </c>
      <c r="DH30" s="21">
        <f t="shared" si="27"/>
        <v>0</v>
      </c>
      <c r="DI30" s="21">
        <f t="shared" si="27"/>
        <v>0</v>
      </c>
      <c r="DJ30" s="21">
        <f t="shared" si="27"/>
        <v>0</v>
      </c>
      <c r="DK30" s="21">
        <f t="shared" si="27"/>
        <v>0</v>
      </c>
      <c r="DL30" s="21">
        <f t="shared" si="27"/>
        <v>0</v>
      </c>
      <c r="DM30" s="21">
        <f t="shared" si="27"/>
        <v>441812634</v>
      </c>
      <c r="DN30" s="21">
        <f t="shared" si="27"/>
        <v>7878090</v>
      </c>
      <c r="DO30" s="21">
        <f t="shared" si="27"/>
        <v>0</v>
      </c>
      <c r="DP30" s="21">
        <f t="shared" si="27"/>
        <v>5920000</v>
      </c>
      <c r="DQ30" s="21">
        <f t="shared" si="27"/>
        <v>0</v>
      </c>
      <c r="DR30" s="21">
        <f t="shared" si="27"/>
        <v>0</v>
      </c>
      <c r="DS30" s="21">
        <f t="shared" si="27"/>
        <v>0</v>
      </c>
      <c r="DT30" s="21">
        <f t="shared" si="27"/>
        <v>0</v>
      </c>
      <c r="DU30" s="21">
        <f t="shared" si="27"/>
        <v>0</v>
      </c>
      <c r="DV30" s="21">
        <f t="shared" si="28"/>
        <v>0</v>
      </c>
      <c r="DW30" s="21">
        <f t="shared" si="28"/>
        <v>0</v>
      </c>
      <c r="DX30" s="21">
        <f t="shared" si="28"/>
        <v>258045086</v>
      </c>
      <c r="DY30" s="21">
        <f t="shared" si="28"/>
        <v>0</v>
      </c>
      <c r="DZ30" s="21">
        <f t="shared" si="28"/>
        <v>0</v>
      </c>
      <c r="EA30" s="21">
        <f t="shared" si="28"/>
        <v>0</v>
      </c>
      <c r="EB30" s="21">
        <f t="shared" si="28"/>
        <v>0</v>
      </c>
      <c r="EE30" s="39">
        <f t="shared" si="29"/>
        <v>1082732208</v>
      </c>
      <c r="EF30" s="39">
        <f t="shared" si="30"/>
        <v>369076398</v>
      </c>
    </row>
    <row r="31" spans="1:137" ht="21" hidden="1" customHeight="1" x14ac:dyDescent="0.25">
      <c r="A31" s="28"/>
      <c r="B31" s="196"/>
      <c r="C31" s="17" t="s">
        <v>117</v>
      </c>
      <c r="D31" s="29" t="s">
        <v>118</v>
      </c>
      <c r="E31" s="19">
        <v>410</v>
      </c>
      <c r="F31" s="20" t="s">
        <v>105</v>
      </c>
      <c r="G31" s="21">
        <f t="shared" si="20"/>
        <v>461000000</v>
      </c>
      <c r="H31" s="22">
        <v>0</v>
      </c>
      <c r="I31" s="22">
        <f t="shared" si="31"/>
        <v>-461000000</v>
      </c>
      <c r="J31" s="21"/>
      <c r="K31" s="21"/>
      <c r="L31" s="21"/>
      <c r="M31" s="21"/>
      <c r="N31" s="21"/>
      <c r="O31" s="21"/>
      <c r="P31" s="21"/>
      <c r="Q31" s="21">
        <f>300000000+161000000</f>
        <v>461000000</v>
      </c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1"/>
      <c r="AD31" s="21"/>
      <c r="AE31" s="21"/>
      <c r="AF31" s="21"/>
      <c r="AG31" s="23">
        <f t="shared" si="1"/>
        <v>0.54131737310195227</v>
      </c>
      <c r="AH31" s="21">
        <f t="shared" si="21"/>
        <v>249547309</v>
      </c>
      <c r="AI31" s="21"/>
      <c r="AJ31" s="21"/>
      <c r="AK31" s="21"/>
      <c r="AL31" s="21"/>
      <c r="AM31" s="21"/>
      <c r="AN31" s="21"/>
      <c r="AO31" s="21"/>
      <c r="AP31" s="21">
        <f>+'[1]Acuerdo PLAN INVERSIÓN 2021'!$S$1534</f>
        <v>249547309</v>
      </c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3">
        <f t="shared" si="12"/>
        <v>0.45868262689804773</v>
      </c>
      <c r="BG31" s="21">
        <f t="shared" si="22"/>
        <v>211452691</v>
      </c>
      <c r="BH31" s="21">
        <f t="shared" si="23"/>
        <v>0</v>
      </c>
      <c r="BI31" s="21">
        <f t="shared" si="23"/>
        <v>0</v>
      </c>
      <c r="BJ31" s="21">
        <f t="shared" si="23"/>
        <v>0</v>
      </c>
      <c r="BK31" s="21">
        <f t="shared" si="23"/>
        <v>0</v>
      </c>
      <c r="BL31" s="21">
        <f t="shared" si="23"/>
        <v>0</v>
      </c>
      <c r="BM31" s="21">
        <f t="shared" si="23"/>
        <v>0</v>
      </c>
      <c r="BN31" s="21">
        <f t="shared" si="23"/>
        <v>0</v>
      </c>
      <c r="BO31" s="21">
        <f t="shared" si="23"/>
        <v>211452691</v>
      </c>
      <c r="BP31" s="21">
        <f t="shared" si="23"/>
        <v>0</v>
      </c>
      <c r="BQ31" s="21">
        <f t="shared" si="23"/>
        <v>0</v>
      </c>
      <c r="BR31" s="21">
        <f t="shared" si="23"/>
        <v>0</v>
      </c>
      <c r="BS31" s="21">
        <f t="shared" si="23"/>
        <v>0</v>
      </c>
      <c r="BT31" s="21">
        <f t="shared" si="23"/>
        <v>0</v>
      </c>
      <c r="BU31" s="21">
        <f t="shared" si="23"/>
        <v>0</v>
      </c>
      <c r="BV31" s="21">
        <f t="shared" si="23"/>
        <v>0</v>
      </c>
      <c r="BW31" s="21">
        <f t="shared" si="23"/>
        <v>0</v>
      </c>
      <c r="BX31" s="21">
        <f t="shared" si="24"/>
        <v>0</v>
      </c>
      <c r="BY31" s="21">
        <f t="shared" si="24"/>
        <v>0</v>
      </c>
      <c r="BZ31" s="21">
        <f t="shared" si="24"/>
        <v>0</v>
      </c>
      <c r="CA31" s="21">
        <f t="shared" si="24"/>
        <v>0</v>
      </c>
      <c r="CB31" s="21">
        <f t="shared" si="24"/>
        <v>0</v>
      </c>
      <c r="CC31" s="21">
        <f t="shared" si="24"/>
        <v>0</v>
      </c>
      <c r="CD31" s="21">
        <f t="shared" si="24"/>
        <v>0</v>
      </c>
      <c r="CE31" s="23">
        <f t="shared" si="6"/>
        <v>0.54131737310195227</v>
      </c>
      <c r="CF31" s="21">
        <f t="shared" si="25"/>
        <v>249547309</v>
      </c>
      <c r="CG31" s="21"/>
      <c r="CH31" s="21"/>
      <c r="CI31" s="21"/>
      <c r="CJ31" s="21"/>
      <c r="CK31" s="21"/>
      <c r="CL31" s="21"/>
      <c r="CM31" s="21"/>
      <c r="CN31" s="21">
        <f>+'[1]Acuerdo PLAN INVERSIÓN 2021'!$S$1534</f>
        <v>249547309</v>
      </c>
      <c r="CO31" s="21"/>
      <c r="CP31" s="21"/>
      <c r="CQ31" s="21"/>
      <c r="CR31" s="21"/>
      <c r="CS31" s="21"/>
      <c r="CT31" s="21"/>
      <c r="CU31" s="21"/>
      <c r="CV31" s="21"/>
      <c r="CW31" s="21"/>
      <c r="CX31" s="21"/>
      <c r="CY31" s="21"/>
      <c r="CZ31" s="21"/>
      <c r="DA31" s="21"/>
      <c r="DB31" s="21"/>
      <c r="DC31" s="21"/>
      <c r="DD31" s="23">
        <f t="shared" si="8"/>
        <v>0.45868262689804773</v>
      </c>
      <c r="DE31" s="21">
        <f t="shared" si="26"/>
        <v>211452691</v>
      </c>
      <c r="DF31" s="21">
        <f t="shared" si="27"/>
        <v>0</v>
      </c>
      <c r="DG31" s="21">
        <f t="shared" si="27"/>
        <v>0</v>
      </c>
      <c r="DH31" s="21">
        <f t="shared" si="27"/>
        <v>0</v>
      </c>
      <c r="DI31" s="21">
        <f t="shared" si="27"/>
        <v>0</v>
      </c>
      <c r="DJ31" s="21">
        <f t="shared" si="27"/>
        <v>0</v>
      </c>
      <c r="DK31" s="21">
        <f t="shared" si="27"/>
        <v>0</v>
      </c>
      <c r="DL31" s="21">
        <f t="shared" si="27"/>
        <v>0</v>
      </c>
      <c r="DM31" s="21">
        <f t="shared" si="27"/>
        <v>211452691</v>
      </c>
      <c r="DN31" s="21">
        <f t="shared" si="27"/>
        <v>0</v>
      </c>
      <c r="DO31" s="21">
        <f t="shared" si="27"/>
        <v>0</v>
      </c>
      <c r="DP31" s="21">
        <f t="shared" si="27"/>
        <v>0</v>
      </c>
      <c r="DQ31" s="21">
        <f t="shared" si="27"/>
        <v>0</v>
      </c>
      <c r="DR31" s="21">
        <f t="shared" si="27"/>
        <v>0</v>
      </c>
      <c r="DS31" s="21">
        <f t="shared" si="27"/>
        <v>0</v>
      </c>
      <c r="DT31" s="21">
        <f t="shared" si="27"/>
        <v>0</v>
      </c>
      <c r="DU31" s="21">
        <f t="shared" si="27"/>
        <v>0</v>
      </c>
      <c r="DV31" s="21">
        <f t="shared" si="28"/>
        <v>0</v>
      </c>
      <c r="DW31" s="21">
        <f t="shared" si="28"/>
        <v>0</v>
      </c>
      <c r="DX31" s="21">
        <f t="shared" si="28"/>
        <v>0</v>
      </c>
      <c r="DY31" s="21">
        <f t="shared" si="28"/>
        <v>0</v>
      </c>
      <c r="DZ31" s="21">
        <f t="shared" si="28"/>
        <v>0</v>
      </c>
      <c r="EA31" s="21">
        <f t="shared" si="28"/>
        <v>0</v>
      </c>
      <c r="EB31" s="21">
        <f t="shared" si="28"/>
        <v>0</v>
      </c>
      <c r="EE31" s="39">
        <f t="shared" si="29"/>
        <v>461000000</v>
      </c>
      <c r="EF31" s="39">
        <f t="shared" si="30"/>
        <v>249547309</v>
      </c>
    </row>
    <row r="32" spans="1:137" ht="21" hidden="1" customHeight="1" x14ac:dyDescent="0.25">
      <c r="A32" s="28"/>
      <c r="B32" s="196"/>
      <c r="C32" s="17" t="s">
        <v>119</v>
      </c>
      <c r="D32" s="29" t="s">
        <v>120</v>
      </c>
      <c r="E32" s="19">
        <v>410</v>
      </c>
      <c r="F32" s="20" t="s">
        <v>105</v>
      </c>
      <c r="G32" s="21">
        <f t="shared" si="20"/>
        <v>300000000</v>
      </c>
      <c r="H32" s="22"/>
      <c r="I32" s="22">
        <f t="shared" si="31"/>
        <v>-300000000</v>
      </c>
      <c r="J32" s="21"/>
      <c r="K32" s="21"/>
      <c r="L32" s="21"/>
      <c r="M32" s="21"/>
      <c r="N32" s="21"/>
      <c r="O32" s="21"/>
      <c r="P32" s="21"/>
      <c r="Q32" s="21">
        <v>300000000</v>
      </c>
      <c r="R32" s="21"/>
      <c r="S32" s="21"/>
      <c r="T32" s="21"/>
      <c r="U32" s="21"/>
      <c r="V32" s="21"/>
      <c r="W32" s="21"/>
      <c r="X32" s="21"/>
      <c r="Y32" s="21"/>
      <c r="Z32" s="21"/>
      <c r="AA32" s="21"/>
      <c r="AB32" s="21"/>
      <c r="AC32" s="21"/>
      <c r="AD32" s="21"/>
      <c r="AE32" s="21"/>
      <c r="AF32" s="21"/>
      <c r="AG32" s="23">
        <f t="shared" si="1"/>
        <v>0.57979077999999995</v>
      </c>
      <c r="AH32" s="21">
        <f t="shared" si="21"/>
        <v>173937234</v>
      </c>
      <c r="AI32" s="21"/>
      <c r="AJ32" s="21"/>
      <c r="AK32" s="21"/>
      <c r="AL32" s="21"/>
      <c r="AM32" s="21"/>
      <c r="AN32" s="21"/>
      <c r="AO32" s="21"/>
      <c r="AP32" s="21">
        <f>+'[1]Acuerdo PLAN INVERSIÓN 2021'!$S$1704</f>
        <v>173937234</v>
      </c>
      <c r="AQ32" s="21"/>
      <c r="AR32" s="21"/>
      <c r="AS32" s="21"/>
      <c r="AT32" s="21"/>
      <c r="AU32" s="21"/>
      <c r="AV32" s="21"/>
      <c r="AW32" s="21"/>
      <c r="AX32" s="21"/>
      <c r="AY32" s="21"/>
      <c r="AZ32" s="21"/>
      <c r="BA32" s="21"/>
      <c r="BB32" s="21"/>
      <c r="BC32" s="21"/>
      <c r="BD32" s="21"/>
      <c r="BE32" s="21"/>
      <c r="BF32" s="23">
        <f t="shared" si="12"/>
        <v>0.42020922000000005</v>
      </c>
      <c r="BG32" s="21">
        <f t="shared" si="22"/>
        <v>126062766</v>
      </c>
      <c r="BH32" s="21">
        <f t="shared" si="23"/>
        <v>0</v>
      </c>
      <c r="BI32" s="21">
        <f t="shared" si="23"/>
        <v>0</v>
      </c>
      <c r="BJ32" s="21">
        <f t="shared" si="23"/>
        <v>0</v>
      </c>
      <c r="BK32" s="21">
        <f t="shared" si="23"/>
        <v>0</v>
      </c>
      <c r="BL32" s="21">
        <f t="shared" si="23"/>
        <v>0</v>
      </c>
      <c r="BM32" s="21">
        <f t="shared" si="23"/>
        <v>0</v>
      </c>
      <c r="BN32" s="21">
        <f t="shared" si="23"/>
        <v>0</v>
      </c>
      <c r="BO32" s="21">
        <f t="shared" si="23"/>
        <v>126062766</v>
      </c>
      <c r="BP32" s="21">
        <f t="shared" si="23"/>
        <v>0</v>
      </c>
      <c r="BQ32" s="21">
        <f t="shared" si="23"/>
        <v>0</v>
      </c>
      <c r="BR32" s="21">
        <f t="shared" si="23"/>
        <v>0</v>
      </c>
      <c r="BS32" s="21">
        <f t="shared" si="23"/>
        <v>0</v>
      </c>
      <c r="BT32" s="21">
        <f t="shared" si="23"/>
        <v>0</v>
      </c>
      <c r="BU32" s="21">
        <f t="shared" si="23"/>
        <v>0</v>
      </c>
      <c r="BV32" s="21">
        <f t="shared" si="23"/>
        <v>0</v>
      </c>
      <c r="BW32" s="21">
        <f t="shared" si="23"/>
        <v>0</v>
      </c>
      <c r="BX32" s="21">
        <f t="shared" si="24"/>
        <v>0</v>
      </c>
      <c r="BY32" s="21">
        <f t="shared" si="24"/>
        <v>0</v>
      </c>
      <c r="BZ32" s="21">
        <f t="shared" si="24"/>
        <v>0</v>
      </c>
      <c r="CA32" s="21">
        <f t="shared" si="24"/>
        <v>0</v>
      </c>
      <c r="CB32" s="21">
        <f t="shared" si="24"/>
        <v>0</v>
      </c>
      <c r="CC32" s="21">
        <f t="shared" si="24"/>
        <v>0</v>
      </c>
      <c r="CD32" s="21">
        <f t="shared" si="24"/>
        <v>0</v>
      </c>
      <c r="CE32" s="23">
        <f t="shared" si="6"/>
        <v>0.57979077999999995</v>
      </c>
      <c r="CF32" s="21">
        <f t="shared" si="25"/>
        <v>173937234</v>
      </c>
      <c r="CG32" s="21"/>
      <c r="CH32" s="21"/>
      <c r="CI32" s="21"/>
      <c r="CJ32" s="21"/>
      <c r="CK32" s="21"/>
      <c r="CL32" s="21"/>
      <c r="CM32" s="21"/>
      <c r="CN32" s="21">
        <f>+'[1]Acuerdo PLAN INVERSIÓN 2021'!$S$1704</f>
        <v>173937234</v>
      </c>
      <c r="CO32" s="21"/>
      <c r="CP32" s="21"/>
      <c r="CQ32" s="21"/>
      <c r="CR32" s="21"/>
      <c r="CS32" s="21"/>
      <c r="CT32" s="21"/>
      <c r="CU32" s="21"/>
      <c r="CV32" s="21"/>
      <c r="CW32" s="21"/>
      <c r="CX32" s="21"/>
      <c r="CY32" s="21"/>
      <c r="CZ32" s="21"/>
      <c r="DA32" s="21"/>
      <c r="DB32" s="21"/>
      <c r="DC32" s="21"/>
      <c r="DD32" s="23">
        <f t="shared" si="8"/>
        <v>0.42020922000000005</v>
      </c>
      <c r="DE32" s="21">
        <f t="shared" si="26"/>
        <v>126062766</v>
      </c>
      <c r="DF32" s="21">
        <f t="shared" si="27"/>
        <v>0</v>
      </c>
      <c r="DG32" s="21">
        <f t="shared" si="27"/>
        <v>0</v>
      </c>
      <c r="DH32" s="21">
        <f t="shared" si="27"/>
        <v>0</v>
      </c>
      <c r="DI32" s="21">
        <f t="shared" si="27"/>
        <v>0</v>
      </c>
      <c r="DJ32" s="21">
        <f t="shared" si="27"/>
        <v>0</v>
      </c>
      <c r="DK32" s="21">
        <f t="shared" si="27"/>
        <v>0</v>
      </c>
      <c r="DL32" s="21">
        <f t="shared" si="27"/>
        <v>0</v>
      </c>
      <c r="DM32" s="21">
        <f t="shared" si="27"/>
        <v>126062766</v>
      </c>
      <c r="DN32" s="21">
        <f t="shared" si="27"/>
        <v>0</v>
      </c>
      <c r="DO32" s="21">
        <f t="shared" si="27"/>
        <v>0</v>
      </c>
      <c r="DP32" s="21">
        <f t="shared" si="27"/>
        <v>0</v>
      </c>
      <c r="DQ32" s="21">
        <f t="shared" si="27"/>
        <v>0</v>
      </c>
      <c r="DR32" s="21">
        <f t="shared" si="27"/>
        <v>0</v>
      </c>
      <c r="DS32" s="21">
        <f t="shared" si="27"/>
        <v>0</v>
      </c>
      <c r="DT32" s="21">
        <f t="shared" si="27"/>
        <v>0</v>
      </c>
      <c r="DU32" s="21">
        <f t="shared" si="27"/>
        <v>0</v>
      </c>
      <c r="DV32" s="21">
        <f t="shared" si="28"/>
        <v>0</v>
      </c>
      <c r="DW32" s="21">
        <f t="shared" si="28"/>
        <v>0</v>
      </c>
      <c r="DX32" s="21">
        <f t="shared" si="28"/>
        <v>0</v>
      </c>
      <c r="DY32" s="21">
        <f t="shared" si="28"/>
        <v>0</v>
      </c>
      <c r="DZ32" s="21">
        <f t="shared" si="28"/>
        <v>0</v>
      </c>
      <c r="EA32" s="21">
        <f t="shared" si="28"/>
        <v>0</v>
      </c>
      <c r="EB32" s="21">
        <f t="shared" si="28"/>
        <v>0</v>
      </c>
      <c r="EE32" s="39">
        <f t="shared" si="29"/>
        <v>300000000</v>
      </c>
      <c r="EF32" s="39">
        <f t="shared" si="30"/>
        <v>173937234</v>
      </c>
    </row>
    <row r="33" spans="1:136" ht="23.25" hidden="1" customHeight="1" x14ac:dyDescent="0.25">
      <c r="A33" s="28"/>
      <c r="B33" s="196"/>
      <c r="C33" s="17" t="s">
        <v>121</v>
      </c>
      <c r="D33" s="29" t="s">
        <v>122</v>
      </c>
      <c r="E33" s="19">
        <v>410</v>
      </c>
      <c r="F33" s="20" t="s">
        <v>114</v>
      </c>
      <c r="G33" s="21">
        <f t="shared" si="20"/>
        <v>111215829</v>
      </c>
      <c r="H33" s="22"/>
      <c r="I33" s="22">
        <f t="shared" si="31"/>
        <v>-111215829</v>
      </c>
      <c r="J33" s="21"/>
      <c r="K33" s="21"/>
      <c r="L33" s="21"/>
      <c r="M33" s="21"/>
      <c r="N33" s="21"/>
      <c r="O33" s="21"/>
      <c r="P33" s="21"/>
      <c r="Q33" s="21">
        <f>11215829+50000000</f>
        <v>61215829</v>
      </c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21">
        <v>50000000</v>
      </c>
      <c r="AC33" s="21"/>
      <c r="AD33" s="21"/>
      <c r="AE33" s="21"/>
      <c r="AF33" s="21"/>
      <c r="AG33" s="23">
        <f t="shared" si="1"/>
        <v>0.16116490036683537</v>
      </c>
      <c r="AH33" s="21">
        <f t="shared" si="21"/>
        <v>17924088</v>
      </c>
      <c r="AI33" s="21"/>
      <c r="AJ33" s="21"/>
      <c r="AK33" s="21"/>
      <c r="AL33" s="21"/>
      <c r="AM33" s="21"/>
      <c r="AN33" s="21"/>
      <c r="AO33" s="21"/>
      <c r="AP33" s="21">
        <f>+'[1]Acuerdo PLAN INVERSIÓN 2021'!$S$1807</f>
        <v>17924088</v>
      </c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3">
        <f t="shared" si="12"/>
        <v>0.8388350996331646</v>
      </c>
      <c r="BG33" s="21">
        <f t="shared" si="22"/>
        <v>93291741</v>
      </c>
      <c r="BH33" s="21">
        <f t="shared" si="23"/>
        <v>0</v>
      </c>
      <c r="BI33" s="21">
        <f t="shared" si="23"/>
        <v>0</v>
      </c>
      <c r="BJ33" s="21">
        <f t="shared" si="23"/>
        <v>0</v>
      </c>
      <c r="BK33" s="21">
        <f t="shared" si="23"/>
        <v>0</v>
      </c>
      <c r="BL33" s="21">
        <f t="shared" si="23"/>
        <v>0</v>
      </c>
      <c r="BM33" s="21">
        <f t="shared" si="23"/>
        <v>0</v>
      </c>
      <c r="BN33" s="21">
        <f t="shared" si="23"/>
        <v>0</v>
      </c>
      <c r="BO33" s="21">
        <f t="shared" si="23"/>
        <v>43291741</v>
      </c>
      <c r="BP33" s="21">
        <f t="shared" si="23"/>
        <v>0</v>
      </c>
      <c r="BQ33" s="21">
        <f t="shared" si="23"/>
        <v>0</v>
      </c>
      <c r="BR33" s="21">
        <f t="shared" si="23"/>
        <v>0</v>
      </c>
      <c r="BS33" s="21">
        <f t="shared" si="23"/>
        <v>0</v>
      </c>
      <c r="BT33" s="21">
        <f t="shared" si="23"/>
        <v>0</v>
      </c>
      <c r="BU33" s="21">
        <f t="shared" si="23"/>
        <v>0</v>
      </c>
      <c r="BV33" s="21">
        <f t="shared" si="23"/>
        <v>0</v>
      </c>
      <c r="BW33" s="21">
        <f t="shared" si="23"/>
        <v>0</v>
      </c>
      <c r="BX33" s="21">
        <f t="shared" si="24"/>
        <v>0</v>
      </c>
      <c r="BY33" s="21">
        <f t="shared" si="24"/>
        <v>0</v>
      </c>
      <c r="BZ33" s="21">
        <f t="shared" si="24"/>
        <v>50000000</v>
      </c>
      <c r="CA33" s="21">
        <f t="shared" si="24"/>
        <v>0</v>
      </c>
      <c r="CB33" s="21">
        <f t="shared" si="24"/>
        <v>0</v>
      </c>
      <c r="CC33" s="21">
        <f t="shared" si="24"/>
        <v>0</v>
      </c>
      <c r="CD33" s="21">
        <f t="shared" si="24"/>
        <v>0</v>
      </c>
      <c r="CE33" s="23">
        <f t="shared" si="6"/>
        <v>0.16116490036683537</v>
      </c>
      <c r="CF33" s="21">
        <f t="shared" si="25"/>
        <v>17924088</v>
      </c>
      <c r="CG33" s="21"/>
      <c r="CH33" s="21"/>
      <c r="CI33" s="21"/>
      <c r="CJ33" s="21"/>
      <c r="CK33" s="21"/>
      <c r="CL33" s="21"/>
      <c r="CM33" s="21"/>
      <c r="CN33" s="21">
        <f>+'[1]Acuerdo PLAN INVERSIÓN 2021'!$S$1807</f>
        <v>17924088</v>
      </c>
      <c r="CO33" s="21"/>
      <c r="CP33" s="21"/>
      <c r="CQ33" s="21"/>
      <c r="CR33" s="21"/>
      <c r="CS33" s="21"/>
      <c r="CT33" s="21"/>
      <c r="CU33" s="21"/>
      <c r="CV33" s="21"/>
      <c r="CW33" s="21"/>
      <c r="CX33" s="21"/>
      <c r="CY33" s="21"/>
      <c r="CZ33" s="21"/>
      <c r="DA33" s="21"/>
      <c r="DB33" s="21"/>
      <c r="DC33" s="21"/>
      <c r="DD33" s="23">
        <f t="shared" si="8"/>
        <v>0.8388350996331646</v>
      </c>
      <c r="DE33" s="21">
        <f t="shared" si="26"/>
        <v>93291741</v>
      </c>
      <c r="DF33" s="21">
        <f t="shared" si="27"/>
        <v>0</v>
      </c>
      <c r="DG33" s="21">
        <f t="shared" si="27"/>
        <v>0</v>
      </c>
      <c r="DH33" s="21">
        <f t="shared" si="27"/>
        <v>0</v>
      </c>
      <c r="DI33" s="21">
        <f t="shared" si="27"/>
        <v>0</v>
      </c>
      <c r="DJ33" s="21">
        <f t="shared" si="27"/>
        <v>0</v>
      </c>
      <c r="DK33" s="21">
        <f t="shared" si="27"/>
        <v>0</v>
      </c>
      <c r="DL33" s="21">
        <f t="shared" si="27"/>
        <v>0</v>
      </c>
      <c r="DM33" s="21">
        <f t="shared" si="27"/>
        <v>43291741</v>
      </c>
      <c r="DN33" s="21">
        <f t="shared" si="27"/>
        <v>0</v>
      </c>
      <c r="DO33" s="21">
        <f t="shared" si="27"/>
        <v>0</v>
      </c>
      <c r="DP33" s="21">
        <f t="shared" si="27"/>
        <v>0</v>
      </c>
      <c r="DQ33" s="21">
        <f t="shared" si="27"/>
        <v>0</v>
      </c>
      <c r="DR33" s="21">
        <f t="shared" si="27"/>
        <v>0</v>
      </c>
      <c r="DS33" s="21">
        <f t="shared" si="27"/>
        <v>0</v>
      </c>
      <c r="DT33" s="21">
        <f t="shared" si="27"/>
        <v>0</v>
      </c>
      <c r="DU33" s="21">
        <f t="shared" si="27"/>
        <v>0</v>
      </c>
      <c r="DV33" s="21">
        <f t="shared" si="28"/>
        <v>0</v>
      </c>
      <c r="DW33" s="21">
        <f t="shared" si="28"/>
        <v>0</v>
      </c>
      <c r="DX33" s="21">
        <f t="shared" si="28"/>
        <v>50000000</v>
      </c>
      <c r="DY33" s="21">
        <f t="shared" si="28"/>
        <v>0</v>
      </c>
      <c r="DZ33" s="21">
        <f t="shared" si="28"/>
        <v>0</v>
      </c>
      <c r="EA33" s="21">
        <f t="shared" si="28"/>
        <v>0</v>
      </c>
      <c r="EB33" s="21">
        <f t="shared" si="28"/>
        <v>0</v>
      </c>
      <c r="EE33" s="39">
        <f t="shared" si="29"/>
        <v>111215829</v>
      </c>
      <c r="EF33" s="39">
        <f t="shared" si="30"/>
        <v>17924088</v>
      </c>
    </row>
    <row r="34" spans="1:136" ht="26.25" hidden="1" customHeight="1" x14ac:dyDescent="0.25">
      <c r="A34" s="28"/>
      <c r="B34" s="196"/>
      <c r="C34" s="17" t="s">
        <v>123</v>
      </c>
      <c r="D34" s="29" t="s">
        <v>124</v>
      </c>
      <c r="E34" s="19">
        <v>410</v>
      </c>
      <c r="F34" s="20" t="s">
        <v>125</v>
      </c>
      <c r="G34" s="21">
        <f t="shared" si="20"/>
        <v>296000000</v>
      </c>
      <c r="H34" s="22">
        <v>327960000</v>
      </c>
      <c r="I34" s="22">
        <f t="shared" si="31"/>
        <v>31960000</v>
      </c>
      <c r="J34" s="21"/>
      <c r="K34" s="21"/>
      <c r="L34" s="21"/>
      <c r="M34" s="21"/>
      <c r="N34" s="21"/>
      <c r="O34" s="21"/>
      <c r="P34" s="21"/>
      <c r="Q34" s="21">
        <f>200000000+90000000</f>
        <v>290000000</v>
      </c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  <c r="AC34" s="21"/>
      <c r="AD34" s="21"/>
      <c r="AE34" s="21"/>
      <c r="AF34" s="21">
        <f>3000000+3000000</f>
        <v>6000000</v>
      </c>
      <c r="AG34" s="23">
        <f t="shared" si="1"/>
        <v>0.6397988986486487</v>
      </c>
      <c r="AH34" s="21">
        <f t="shared" si="21"/>
        <v>189380474</v>
      </c>
      <c r="AI34" s="21"/>
      <c r="AJ34" s="21"/>
      <c r="AK34" s="21"/>
      <c r="AL34" s="21"/>
      <c r="AM34" s="21"/>
      <c r="AN34" s="21"/>
      <c r="AO34" s="21"/>
      <c r="AP34" s="21">
        <f>+'[1]Acuerdo PLAN INVERSIÓN 2021'!$S$1854</f>
        <v>183494474</v>
      </c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>
        <f>+'[1]Acuerdo PLAN INVERSIÓN 2021'!$AF$1854</f>
        <v>5886000</v>
      </c>
      <c r="BF34" s="23">
        <f t="shared" si="12"/>
        <v>0.3602011013513513</v>
      </c>
      <c r="BG34" s="21">
        <f t="shared" si="22"/>
        <v>106619526</v>
      </c>
      <c r="BH34" s="21">
        <f t="shared" si="23"/>
        <v>0</v>
      </c>
      <c r="BI34" s="21">
        <f t="shared" si="23"/>
        <v>0</v>
      </c>
      <c r="BJ34" s="21">
        <f t="shared" si="23"/>
        <v>0</v>
      </c>
      <c r="BK34" s="21">
        <f t="shared" si="23"/>
        <v>0</v>
      </c>
      <c r="BL34" s="21">
        <f t="shared" si="23"/>
        <v>0</v>
      </c>
      <c r="BM34" s="21">
        <f t="shared" si="23"/>
        <v>0</v>
      </c>
      <c r="BN34" s="21">
        <f t="shared" si="23"/>
        <v>0</v>
      </c>
      <c r="BO34" s="21">
        <f t="shared" si="23"/>
        <v>106505526</v>
      </c>
      <c r="BP34" s="21">
        <f t="shared" si="23"/>
        <v>0</v>
      </c>
      <c r="BQ34" s="21">
        <f t="shared" si="23"/>
        <v>0</v>
      </c>
      <c r="BR34" s="21">
        <f t="shared" si="23"/>
        <v>0</v>
      </c>
      <c r="BS34" s="21">
        <f t="shared" si="23"/>
        <v>0</v>
      </c>
      <c r="BT34" s="21">
        <f t="shared" si="23"/>
        <v>0</v>
      </c>
      <c r="BU34" s="21">
        <f t="shared" si="23"/>
        <v>0</v>
      </c>
      <c r="BV34" s="21">
        <f t="shared" si="23"/>
        <v>0</v>
      </c>
      <c r="BW34" s="21">
        <f t="shared" si="23"/>
        <v>0</v>
      </c>
      <c r="BX34" s="21">
        <f t="shared" si="24"/>
        <v>0</v>
      </c>
      <c r="BY34" s="21">
        <f t="shared" si="24"/>
        <v>0</v>
      </c>
      <c r="BZ34" s="21">
        <f t="shared" si="24"/>
        <v>0</v>
      </c>
      <c r="CA34" s="21">
        <f t="shared" si="24"/>
        <v>0</v>
      </c>
      <c r="CB34" s="21">
        <f t="shared" si="24"/>
        <v>0</v>
      </c>
      <c r="CC34" s="21">
        <f t="shared" si="24"/>
        <v>0</v>
      </c>
      <c r="CD34" s="21">
        <f t="shared" si="24"/>
        <v>114000</v>
      </c>
      <c r="CE34" s="23">
        <f t="shared" si="6"/>
        <v>0.6397988986486487</v>
      </c>
      <c r="CF34" s="21">
        <f t="shared" si="25"/>
        <v>189380474</v>
      </c>
      <c r="CG34" s="21"/>
      <c r="CH34" s="21"/>
      <c r="CI34" s="21"/>
      <c r="CJ34" s="21"/>
      <c r="CK34" s="21"/>
      <c r="CL34" s="21"/>
      <c r="CM34" s="21"/>
      <c r="CN34" s="21">
        <f>+'[1]Acuerdo PLAN INVERSIÓN 2021'!$S$1854</f>
        <v>183494474</v>
      </c>
      <c r="CO34" s="21"/>
      <c r="CP34" s="21"/>
      <c r="CQ34" s="21"/>
      <c r="CR34" s="21"/>
      <c r="CS34" s="21"/>
      <c r="CT34" s="21"/>
      <c r="CU34" s="21"/>
      <c r="CV34" s="21"/>
      <c r="CW34" s="21"/>
      <c r="CX34" s="21"/>
      <c r="CY34" s="21"/>
      <c r="CZ34" s="21"/>
      <c r="DA34" s="21"/>
      <c r="DB34" s="21"/>
      <c r="DC34" s="21">
        <f>+'[1]Acuerdo PLAN INVERSIÓN 2021'!$AF$1854</f>
        <v>5886000</v>
      </c>
      <c r="DD34" s="23">
        <f t="shared" si="8"/>
        <v>0.3602011013513513</v>
      </c>
      <c r="DE34" s="21">
        <f t="shared" si="26"/>
        <v>106619526</v>
      </c>
      <c r="DF34" s="21">
        <f t="shared" si="27"/>
        <v>0</v>
      </c>
      <c r="DG34" s="21">
        <f t="shared" si="27"/>
        <v>0</v>
      </c>
      <c r="DH34" s="21">
        <f t="shared" si="27"/>
        <v>0</v>
      </c>
      <c r="DI34" s="21">
        <f t="shared" si="27"/>
        <v>0</v>
      </c>
      <c r="DJ34" s="21">
        <f t="shared" si="27"/>
        <v>0</v>
      </c>
      <c r="DK34" s="21">
        <f t="shared" si="27"/>
        <v>0</v>
      </c>
      <c r="DL34" s="21">
        <f t="shared" si="27"/>
        <v>0</v>
      </c>
      <c r="DM34" s="21">
        <f t="shared" si="27"/>
        <v>106505526</v>
      </c>
      <c r="DN34" s="21">
        <f t="shared" si="27"/>
        <v>0</v>
      </c>
      <c r="DO34" s="21">
        <f t="shared" si="27"/>
        <v>0</v>
      </c>
      <c r="DP34" s="21">
        <f t="shared" si="27"/>
        <v>0</v>
      </c>
      <c r="DQ34" s="21">
        <f t="shared" si="27"/>
        <v>0</v>
      </c>
      <c r="DR34" s="21">
        <f t="shared" si="27"/>
        <v>0</v>
      </c>
      <c r="DS34" s="21">
        <f t="shared" si="27"/>
        <v>0</v>
      </c>
      <c r="DT34" s="21">
        <f t="shared" si="27"/>
        <v>0</v>
      </c>
      <c r="DU34" s="21">
        <f t="shared" si="27"/>
        <v>0</v>
      </c>
      <c r="DV34" s="21">
        <f t="shared" si="28"/>
        <v>0</v>
      </c>
      <c r="DW34" s="21">
        <f t="shared" si="28"/>
        <v>0</v>
      </c>
      <c r="DX34" s="21">
        <f t="shared" si="28"/>
        <v>0</v>
      </c>
      <c r="DY34" s="21">
        <f t="shared" si="28"/>
        <v>0</v>
      </c>
      <c r="DZ34" s="21">
        <f t="shared" si="28"/>
        <v>0</v>
      </c>
      <c r="EA34" s="21">
        <f t="shared" si="28"/>
        <v>0</v>
      </c>
      <c r="EB34" s="21">
        <f t="shared" si="28"/>
        <v>114000</v>
      </c>
      <c r="EE34" s="39">
        <f t="shared" si="29"/>
        <v>296000000</v>
      </c>
      <c r="EF34" s="39">
        <f t="shared" si="30"/>
        <v>189380474</v>
      </c>
    </row>
    <row r="35" spans="1:136" ht="33" hidden="1" customHeight="1" x14ac:dyDescent="0.25">
      <c r="A35" s="167" t="s">
        <v>101</v>
      </c>
      <c r="B35" s="171" t="s">
        <v>126</v>
      </c>
      <c r="C35" s="44" t="s">
        <v>127</v>
      </c>
      <c r="D35" s="29" t="s">
        <v>128</v>
      </c>
      <c r="E35" s="30">
        <v>410</v>
      </c>
      <c r="F35" s="20" t="s">
        <v>129</v>
      </c>
      <c r="G35" s="21">
        <f>SUM(J35:AF35)</f>
        <v>101812653</v>
      </c>
      <c r="H35" s="22">
        <v>207000000</v>
      </c>
      <c r="I35" s="22">
        <f t="shared" si="31"/>
        <v>105187347</v>
      </c>
      <c r="J35" s="21"/>
      <c r="K35" s="21"/>
      <c r="L35" s="21"/>
      <c r="M35" s="21"/>
      <c r="N35" s="21"/>
      <c r="O35" s="21"/>
      <c r="P35" s="21"/>
      <c r="Q35" s="21">
        <f>40000000+12000000</f>
        <v>52000000</v>
      </c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>
        <v>20000000</v>
      </c>
      <c r="AC35" s="21"/>
      <c r="AD35" s="21"/>
      <c r="AE35" s="21"/>
      <c r="AF35" s="21">
        <f>12312653+5000000+5000000+1500000+6000000</f>
        <v>29812653</v>
      </c>
      <c r="AG35" s="23">
        <f t="shared" si="1"/>
        <v>0.46485075877553256</v>
      </c>
      <c r="AH35" s="21">
        <f t="shared" si="21"/>
        <v>47327689</v>
      </c>
      <c r="AI35" s="21"/>
      <c r="AJ35" s="21"/>
      <c r="AK35" s="21"/>
      <c r="AL35" s="21"/>
      <c r="AM35" s="21"/>
      <c r="AN35" s="21"/>
      <c r="AO35" s="21"/>
      <c r="AP35" s="21">
        <f>+'[1]Acuerdo PLAN INVERSIÓN 2021'!$S$1986</f>
        <v>22752096</v>
      </c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>
        <f>+'[1]Acuerdo PLAN INVERSIÓN 2021'!$Y$1986</f>
        <v>8262940</v>
      </c>
      <c r="BB35" s="21"/>
      <c r="BC35" s="21"/>
      <c r="BD35" s="21"/>
      <c r="BE35" s="21">
        <f>+'[1]Acuerdo PLAN INVERSIÓN 2021'!$AF$1986</f>
        <v>16312653</v>
      </c>
      <c r="BF35" s="23">
        <f t="shared" si="12"/>
        <v>0.53514924122446739</v>
      </c>
      <c r="BG35" s="21">
        <f t="shared" si="22"/>
        <v>54484964</v>
      </c>
      <c r="BH35" s="21">
        <f t="shared" si="23"/>
        <v>0</v>
      </c>
      <c r="BI35" s="21">
        <f t="shared" si="23"/>
        <v>0</v>
      </c>
      <c r="BJ35" s="21">
        <f t="shared" si="23"/>
        <v>0</v>
      </c>
      <c r="BK35" s="21">
        <f t="shared" si="23"/>
        <v>0</v>
      </c>
      <c r="BL35" s="21">
        <f t="shared" si="23"/>
        <v>0</v>
      </c>
      <c r="BM35" s="21">
        <f t="shared" si="23"/>
        <v>0</v>
      </c>
      <c r="BN35" s="21">
        <f t="shared" si="23"/>
        <v>0</v>
      </c>
      <c r="BO35" s="21">
        <f t="shared" si="23"/>
        <v>29247904</v>
      </c>
      <c r="BP35" s="21">
        <f t="shared" si="23"/>
        <v>0</v>
      </c>
      <c r="BQ35" s="21">
        <f t="shared" si="23"/>
        <v>0</v>
      </c>
      <c r="BR35" s="21">
        <f t="shared" si="23"/>
        <v>0</v>
      </c>
      <c r="BS35" s="21">
        <f t="shared" si="23"/>
        <v>0</v>
      </c>
      <c r="BT35" s="21">
        <f t="shared" si="23"/>
        <v>0</v>
      </c>
      <c r="BU35" s="21">
        <f t="shared" si="23"/>
        <v>0</v>
      </c>
      <c r="BV35" s="21">
        <f t="shared" si="23"/>
        <v>0</v>
      </c>
      <c r="BW35" s="21">
        <f t="shared" si="23"/>
        <v>0</v>
      </c>
      <c r="BX35" s="21">
        <f t="shared" si="24"/>
        <v>0</v>
      </c>
      <c r="BY35" s="21">
        <f t="shared" si="24"/>
        <v>0</v>
      </c>
      <c r="BZ35" s="21">
        <f t="shared" si="24"/>
        <v>11737060</v>
      </c>
      <c r="CA35" s="21">
        <f t="shared" si="24"/>
        <v>0</v>
      </c>
      <c r="CB35" s="21">
        <f t="shared" si="24"/>
        <v>0</v>
      </c>
      <c r="CC35" s="21">
        <f t="shared" si="24"/>
        <v>0</v>
      </c>
      <c r="CD35" s="21">
        <f t="shared" si="24"/>
        <v>13500000</v>
      </c>
      <c r="CE35" s="23">
        <f t="shared" si="6"/>
        <v>0.46485075877553256</v>
      </c>
      <c r="CF35" s="21">
        <f t="shared" si="25"/>
        <v>47327689</v>
      </c>
      <c r="CG35" s="21"/>
      <c r="CH35" s="21"/>
      <c r="CI35" s="21"/>
      <c r="CJ35" s="21"/>
      <c r="CK35" s="21"/>
      <c r="CL35" s="21"/>
      <c r="CM35" s="21"/>
      <c r="CN35" s="21">
        <f>+'[1]Acuerdo PLAN INVERSIÓN 2021'!$S$1986</f>
        <v>22752096</v>
      </c>
      <c r="CO35" s="21"/>
      <c r="CP35" s="21"/>
      <c r="CQ35" s="21"/>
      <c r="CR35" s="21"/>
      <c r="CS35" s="21"/>
      <c r="CT35" s="21"/>
      <c r="CU35" s="21"/>
      <c r="CV35" s="21"/>
      <c r="CW35" s="21"/>
      <c r="CX35" s="21"/>
      <c r="CY35" s="21">
        <f>+'[1]Acuerdo PLAN INVERSIÓN 2021'!$Y$1986</f>
        <v>8262940</v>
      </c>
      <c r="CZ35" s="21"/>
      <c r="DA35" s="21"/>
      <c r="DB35" s="21"/>
      <c r="DC35" s="21">
        <f>+'[1]Acuerdo PLAN INVERSIÓN 2021'!$AF$1986</f>
        <v>16312653</v>
      </c>
      <c r="DD35" s="23">
        <f t="shared" si="8"/>
        <v>0.53514924122446739</v>
      </c>
      <c r="DE35" s="21">
        <f t="shared" si="26"/>
        <v>54484964</v>
      </c>
      <c r="DF35" s="21">
        <f t="shared" si="27"/>
        <v>0</v>
      </c>
      <c r="DG35" s="21">
        <f t="shared" si="27"/>
        <v>0</v>
      </c>
      <c r="DH35" s="21">
        <f t="shared" si="27"/>
        <v>0</v>
      </c>
      <c r="DI35" s="21">
        <f t="shared" si="27"/>
        <v>0</v>
      </c>
      <c r="DJ35" s="21">
        <f t="shared" si="27"/>
        <v>0</v>
      </c>
      <c r="DK35" s="21">
        <f t="shared" si="27"/>
        <v>0</v>
      </c>
      <c r="DL35" s="21">
        <f t="shared" si="27"/>
        <v>0</v>
      </c>
      <c r="DM35" s="21">
        <f t="shared" si="27"/>
        <v>29247904</v>
      </c>
      <c r="DN35" s="21">
        <f t="shared" si="27"/>
        <v>0</v>
      </c>
      <c r="DO35" s="21">
        <f t="shared" si="27"/>
        <v>0</v>
      </c>
      <c r="DP35" s="21">
        <f t="shared" si="27"/>
        <v>0</v>
      </c>
      <c r="DQ35" s="21">
        <f t="shared" si="27"/>
        <v>0</v>
      </c>
      <c r="DR35" s="21">
        <f t="shared" si="27"/>
        <v>0</v>
      </c>
      <c r="DS35" s="21">
        <f t="shared" si="27"/>
        <v>0</v>
      </c>
      <c r="DT35" s="21">
        <f t="shared" si="27"/>
        <v>0</v>
      </c>
      <c r="DU35" s="21">
        <f t="shared" si="27"/>
        <v>0</v>
      </c>
      <c r="DV35" s="21">
        <f t="shared" si="28"/>
        <v>0</v>
      </c>
      <c r="DW35" s="21">
        <f t="shared" si="28"/>
        <v>0</v>
      </c>
      <c r="DX35" s="21">
        <f t="shared" si="28"/>
        <v>11737060</v>
      </c>
      <c r="DY35" s="21">
        <f t="shared" si="28"/>
        <v>0</v>
      </c>
      <c r="DZ35" s="21">
        <f t="shared" si="28"/>
        <v>0</v>
      </c>
      <c r="EA35" s="21">
        <f t="shared" si="28"/>
        <v>0</v>
      </c>
      <c r="EB35" s="21">
        <f t="shared" si="28"/>
        <v>13500000</v>
      </c>
      <c r="EE35" s="39">
        <f t="shared" si="29"/>
        <v>101812653</v>
      </c>
      <c r="EF35" s="39">
        <f t="shared" si="30"/>
        <v>47327689</v>
      </c>
    </row>
    <row r="36" spans="1:136" ht="53.25" hidden="1" customHeight="1" x14ac:dyDescent="0.25">
      <c r="A36" s="167"/>
      <c r="B36" s="172"/>
      <c r="C36" s="44" t="s">
        <v>130</v>
      </c>
      <c r="D36" s="29" t="s">
        <v>131</v>
      </c>
      <c r="E36" s="30">
        <v>410</v>
      </c>
      <c r="F36" s="45" t="s">
        <v>132</v>
      </c>
      <c r="G36" s="21">
        <f t="shared" si="20"/>
        <v>101000000</v>
      </c>
      <c r="H36" s="22">
        <v>237500000</v>
      </c>
      <c r="I36" s="22">
        <f t="shared" si="31"/>
        <v>136500000</v>
      </c>
      <c r="J36" s="21"/>
      <c r="K36" s="21">
        <v>20000000</v>
      </c>
      <c r="L36" s="21"/>
      <c r="M36" s="21"/>
      <c r="N36" s="21"/>
      <c r="O36" s="21"/>
      <c r="P36" s="21"/>
      <c r="Q36" s="21">
        <f>20000000+12000000</f>
        <v>32000000</v>
      </c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>
        <f>43000000+6000000</f>
        <v>49000000</v>
      </c>
      <c r="AG36" s="23">
        <f t="shared" si="1"/>
        <v>0.48285159405940592</v>
      </c>
      <c r="AH36" s="21">
        <f t="shared" si="21"/>
        <v>48768011</v>
      </c>
      <c r="AI36" s="21"/>
      <c r="AJ36" s="21">
        <f>+'[1]Acuerdo PLAN INVERSIÓN 2021'!$J$2104</f>
        <v>12514269</v>
      </c>
      <c r="AK36" s="21"/>
      <c r="AL36" s="21"/>
      <c r="AM36" s="21"/>
      <c r="AN36" s="21"/>
      <c r="AO36" s="21"/>
      <c r="AP36" s="21">
        <f>+'[1]Acuerdo PLAN INVERSIÓN 2021'!$S$2104</f>
        <v>15913944</v>
      </c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>
        <f>+'[1]Acuerdo PLAN INVERSIÓN 2021'!$AF$2104</f>
        <v>20339798</v>
      </c>
      <c r="BF36" s="23">
        <f t="shared" si="12"/>
        <v>0.51714840594059408</v>
      </c>
      <c r="BG36" s="21">
        <f t="shared" si="22"/>
        <v>52231989</v>
      </c>
      <c r="BH36" s="21">
        <f t="shared" si="23"/>
        <v>0</v>
      </c>
      <c r="BI36" s="21">
        <f t="shared" si="23"/>
        <v>7485731</v>
      </c>
      <c r="BJ36" s="21">
        <f t="shared" si="23"/>
        <v>0</v>
      </c>
      <c r="BK36" s="21">
        <f t="shared" si="23"/>
        <v>0</v>
      </c>
      <c r="BL36" s="21">
        <f t="shared" si="23"/>
        <v>0</v>
      </c>
      <c r="BM36" s="21">
        <f t="shared" si="23"/>
        <v>0</v>
      </c>
      <c r="BN36" s="21">
        <f t="shared" si="23"/>
        <v>0</v>
      </c>
      <c r="BO36" s="21">
        <f t="shared" si="23"/>
        <v>16086056</v>
      </c>
      <c r="BP36" s="21">
        <f t="shared" si="23"/>
        <v>0</v>
      </c>
      <c r="BQ36" s="21">
        <f t="shared" si="23"/>
        <v>0</v>
      </c>
      <c r="BR36" s="21">
        <f t="shared" si="23"/>
        <v>0</v>
      </c>
      <c r="BS36" s="21">
        <f t="shared" si="23"/>
        <v>0</v>
      </c>
      <c r="BT36" s="21">
        <f t="shared" si="23"/>
        <v>0</v>
      </c>
      <c r="BU36" s="21">
        <f t="shared" si="23"/>
        <v>0</v>
      </c>
      <c r="BV36" s="21">
        <f t="shared" si="23"/>
        <v>0</v>
      </c>
      <c r="BW36" s="21">
        <f t="shared" si="23"/>
        <v>0</v>
      </c>
      <c r="BX36" s="21">
        <f t="shared" si="24"/>
        <v>0</v>
      </c>
      <c r="BY36" s="21">
        <f t="shared" si="24"/>
        <v>0</v>
      </c>
      <c r="BZ36" s="21">
        <f t="shared" si="24"/>
        <v>0</v>
      </c>
      <c r="CA36" s="21">
        <f t="shared" si="24"/>
        <v>0</v>
      </c>
      <c r="CB36" s="21">
        <f t="shared" si="24"/>
        <v>0</v>
      </c>
      <c r="CC36" s="21">
        <f t="shared" si="24"/>
        <v>0</v>
      </c>
      <c r="CD36" s="21">
        <f t="shared" si="24"/>
        <v>28660202</v>
      </c>
      <c r="CE36" s="23">
        <f t="shared" si="6"/>
        <v>0.48285159405940592</v>
      </c>
      <c r="CF36" s="21">
        <f t="shared" si="25"/>
        <v>48768011</v>
      </c>
      <c r="CG36" s="21"/>
      <c r="CH36" s="21">
        <f>+'[1]Acuerdo PLAN INVERSIÓN 2021'!$J$2104</f>
        <v>12514269</v>
      </c>
      <c r="CI36" s="21"/>
      <c r="CJ36" s="21"/>
      <c r="CK36" s="21"/>
      <c r="CL36" s="21"/>
      <c r="CM36" s="21"/>
      <c r="CN36" s="21">
        <f>+'[1]Acuerdo PLAN INVERSIÓN 2021'!$S$2104</f>
        <v>15913944</v>
      </c>
      <c r="CO36" s="21"/>
      <c r="CP36" s="21"/>
      <c r="CQ36" s="21"/>
      <c r="CR36" s="21"/>
      <c r="CS36" s="21"/>
      <c r="CT36" s="21"/>
      <c r="CU36" s="21"/>
      <c r="CV36" s="21"/>
      <c r="CW36" s="21"/>
      <c r="CX36" s="21"/>
      <c r="CY36" s="21"/>
      <c r="CZ36" s="21"/>
      <c r="DA36" s="21"/>
      <c r="DB36" s="21"/>
      <c r="DC36" s="21">
        <f>+'[1]Acuerdo PLAN INVERSIÓN 2021'!$AF$2104</f>
        <v>20339798</v>
      </c>
      <c r="DD36" s="23">
        <f t="shared" si="8"/>
        <v>0.51714840594059408</v>
      </c>
      <c r="DE36" s="21">
        <f t="shared" si="26"/>
        <v>52231989</v>
      </c>
      <c r="DF36" s="21">
        <f t="shared" si="27"/>
        <v>0</v>
      </c>
      <c r="DG36" s="21">
        <f t="shared" si="27"/>
        <v>7485731</v>
      </c>
      <c r="DH36" s="21">
        <f t="shared" si="27"/>
        <v>0</v>
      </c>
      <c r="DI36" s="21">
        <f t="shared" si="27"/>
        <v>0</v>
      </c>
      <c r="DJ36" s="21">
        <f t="shared" si="27"/>
        <v>0</v>
      </c>
      <c r="DK36" s="21">
        <f t="shared" si="27"/>
        <v>0</v>
      </c>
      <c r="DL36" s="21">
        <f t="shared" si="27"/>
        <v>0</v>
      </c>
      <c r="DM36" s="21">
        <f t="shared" si="27"/>
        <v>16086056</v>
      </c>
      <c r="DN36" s="21">
        <f t="shared" si="27"/>
        <v>0</v>
      </c>
      <c r="DO36" s="21">
        <f t="shared" si="27"/>
        <v>0</v>
      </c>
      <c r="DP36" s="21">
        <f t="shared" si="27"/>
        <v>0</v>
      </c>
      <c r="DQ36" s="21">
        <f t="shared" si="27"/>
        <v>0</v>
      </c>
      <c r="DR36" s="21">
        <f t="shared" si="27"/>
        <v>0</v>
      </c>
      <c r="DS36" s="21">
        <f t="shared" si="27"/>
        <v>0</v>
      </c>
      <c r="DT36" s="21">
        <f t="shared" si="27"/>
        <v>0</v>
      </c>
      <c r="DU36" s="21">
        <f t="shared" si="27"/>
        <v>0</v>
      </c>
      <c r="DV36" s="21">
        <f t="shared" si="28"/>
        <v>0</v>
      </c>
      <c r="DW36" s="21">
        <f t="shared" si="28"/>
        <v>0</v>
      </c>
      <c r="DX36" s="21">
        <f t="shared" si="28"/>
        <v>0</v>
      </c>
      <c r="DY36" s="21">
        <f t="shared" si="28"/>
        <v>0</v>
      </c>
      <c r="DZ36" s="21">
        <f t="shared" si="28"/>
        <v>0</v>
      </c>
      <c r="EA36" s="21">
        <f t="shared" si="28"/>
        <v>0</v>
      </c>
      <c r="EB36" s="21">
        <f t="shared" si="28"/>
        <v>28660202</v>
      </c>
      <c r="EE36" s="39">
        <f t="shared" si="29"/>
        <v>101000000</v>
      </c>
      <c r="EF36" s="39">
        <f t="shared" si="30"/>
        <v>48768011</v>
      </c>
    </row>
    <row r="37" spans="1:136" ht="37.200000000000003" hidden="1" customHeight="1" x14ac:dyDescent="0.25">
      <c r="A37" s="167"/>
      <c r="B37" s="172"/>
      <c r="C37" s="17" t="s">
        <v>133</v>
      </c>
      <c r="D37" s="29" t="s">
        <v>134</v>
      </c>
      <c r="E37" s="19">
        <v>410</v>
      </c>
      <c r="F37" s="36" t="s">
        <v>135</v>
      </c>
      <c r="G37" s="21">
        <f t="shared" si="20"/>
        <v>58800000</v>
      </c>
      <c r="H37" s="22">
        <v>14000000</v>
      </c>
      <c r="I37" s="22">
        <f t="shared" si="31"/>
        <v>-44800000</v>
      </c>
      <c r="J37" s="21"/>
      <c r="K37" s="21"/>
      <c r="L37" s="21"/>
      <c r="M37" s="21"/>
      <c r="N37" s="21"/>
      <c r="O37" s="21"/>
      <c r="P37" s="21"/>
      <c r="Q37" s="21">
        <f>12000000+10000000</f>
        <v>22000000</v>
      </c>
      <c r="R37" s="21"/>
      <c r="S37" s="21"/>
      <c r="T37" s="21"/>
      <c r="U37" s="21"/>
      <c r="V37" s="21"/>
      <c r="W37" s="21"/>
      <c r="X37" s="21"/>
      <c r="Y37" s="21"/>
      <c r="Z37" s="21"/>
      <c r="AA37" s="21">
        <f>20000000</f>
        <v>20000000</v>
      </c>
      <c r="AB37" s="21"/>
      <c r="AC37" s="21"/>
      <c r="AD37" s="21"/>
      <c r="AE37" s="21"/>
      <c r="AF37" s="21">
        <f>6000000+4000000+6800000</f>
        <v>16800000</v>
      </c>
      <c r="AG37" s="23">
        <f t="shared" si="1"/>
        <v>0.85010445578231297</v>
      </c>
      <c r="AH37" s="21">
        <f t="shared" si="21"/>
        <v>49986142</v>
      </c>
      <c r="AI37" s="21"/>
      <c r="AJ37" s="21"/>
      <c r="AK37" s="21"/>
      <c r="AL37" s="21"/>
      <c r="AM37" s="21"/>
      <c r="AN37" s="21"/>
      <c r="AO37" s="21"/>
      <c r="AP37" s="21">
        <f>+'[1]Acuerdo PLAN INVERSIÓN 2021'!$S$2168</f>
        <v>21810462</v>
      </c>
      <c r="AQ37" s="21"/>
      <c r="AR37" s="21"/>
      <c r="AS37" s="21"/>
      <c r="AT37" s="21"/>
      <c r="AU37" s="21"/>
      <c r="AV37" s="21"/>
      <c r="AW37" s="21"/>
      <c r="AX37" s="21"/>
      <c r="AY37" s="21"/>
      <c r="AZ37" s="21">
        <f>+'[1]Acuerdo PLAN INVERSIÓN 2021'!$X$2168</f>
        <v>11381500</v>
      </c>
      <c r="BA37" s="21"/>
      <c r="BB37" s="21"/>
      <c r="BC37" s="21"/>
      <c r="BD37" s="21"/>
      <c r="BE37" s="21">
        <f>+'[1]Acuerdo PLAN INVERSIÓN 2021'!$AF$2168</f>
        <v>16794180</v>
      </c>
      <c r="BF37" s="23">
        <f t="shared" si="12"/>
        <v>0.14989554421768703</v>
      </c>
      <c r="BG37" s="21">
        <f t="shared" si="22"/>
        <v>8813858</v>
      </c>
      <c r="BH37" s="21">
        <f t="shared" si="23"/>
        <v>0</v>
      </c>
      <c r="BI37" s="21">
        <f t="shared" si="23"/>
        <v>0</v>
      </c>
      <c r="BJ37" s="21">
        <f t="shared" si="23"/>
        <v>0</v>
      </c>
      <c r="BK37" s="21">
        <f t="shared" si="23"/>
        <v>0</v>
      </c>
      <c r="BL37" s="21">
        <f t="shared" si="23"/>
        <v>0</v>
      </c>
      <c r="BM37" s="21">
        <f t="shared" si="23"/>
        <v>0</v>
      </c>
      <c r="BN37" s="21">
        <f t="shared" si="23"/>
        <v>0</v>
      </c>
      <c r="BO37" s="21">
        <f t="shared" si="23"/>
        <v>189538</v>
      </c>
      <c r="BP37" s="21">
        <f t="shared" si="23"/>
        <v>0</v>
      </c>
      <c r="BQ37" s="21">
        <f t="shared" si="23"/>
        <v>0</v>
      </c>
      <c r="BR37" s="21">
        <f t="shared" si="23"/>
        <v>0</v>
      </c>
      <c r="BS37" s="21">
        <f t="shared" si="23"/>
        <v>0</v>
      </c>
      <c r="BT37" s="21">
        <f t="shared" si="23"/>
        <v>0</v>
      </c>
      <c r="BU37" s="21">
        <f t="shared" si="23"/>
        <v>0</v>
      </c>
      <c r="BV37" s="21">
        <f t="shared" si="23"/>
        <v>0</v>
      </c>
      <c r="BW37" s="21">
        <f t="shared" si="23"/>
        <v>0</v>
      </c>
      <c r="BX37" s="21">
        <f t="shared" si="24"/>
        <v>0</v>
      </c>
      <c r="BY37" s="21">
        <f t="shared" si="24"/>
        <v>8618500</v>
      </c>
      <c r="BZ37" s="21">
        <f t="shared" si="24"/>
        <v>0</v>
      </c>
      <c r="CA37" s="21">
        <f t="shared" si="24"/>
        <v>0</v>
      </c>
      <c r="CB37" s="21">
        <f t="shared" si="24"/>
        <v>0</v>
      </c>
      <c r="CC37" s="21">
        <f t="shared" si="24"/>
        <v>0</v>
      </c>
      <c r="CD37" s="21">
        <f t="shared" si="24"/>
        <v>5820</v>
      </c>
      <c r="CE37" s="23">
        <f t="shared" si="6"/>
        <v>0.85010445578231297</v>
      </c>
      <c r="CF37" s="21">
        <f t="shared" si="25"/>
        <v>49986142</v>
      </c>
      <c r="CG37" s="21"/>
      <c r="CH37" s="21"/>
      <c r="CI37" s="21"/>
      <c r="CJ37" s="21"/>
      <c r="CK37" s="21"/>
      <c r="CL37" s="21"/>
      <c r="CM37" s="21"/>
      <c r="CN37" s="21">
        <f>+'[1]Acuerdo PLAN INVERSIÓN 2021'!$S$2168</f>
        <v>21810462</v>
      </c>
      <c r="CO37" s="21"/>
      <c r="CP37" s="21"/>
      <c r="CQ37" s="21"/>
      <c r="CR37" s="21"/>
      <c r="CS37" s="21"/>
      <c r="CT37" s="21"/>
      <c r="CU37" s="21"/>
      <c r="CV37" s="21"/>
      <c r="CW37" s="21"/>
      <c r="CX37" s="21">
        <f>+'[1]Acuerdo PLAN INVERSIÓN 2021'!$X$2168</f>
        <v>11381500</v>
      </c>
      <c r="CY37" s="21"/>
      <c r="CZ37" s="21"/>
      <c r="DA37" s="21"/>
      <c r="DB37" s="21"/>
      <c r="DC37" s="21">
        <f>+'[1]Acuerdo PLAN INVERSIÓN 2021'!$AF$2168</f>
        <v>16794180</v>
      </c>
      <c r="DD37" s="23">
        <f t="shared" si="8"/>
        <v>0.14989554421768703</v>
      </c>
      <c r="DE37" s="21">
        <f t="shared" si="26"/>
        <v>8813858</v>
      </c>
      <c r="DF37" s="21">
        <f t="shared" si="27"/>
        <v>0</v>
      </c>
      <c r="DG37" s="21">
        <f t="shared" si="27"/>
        <v>0</v>
      </c>
      <c r="DH37" s="21">
        <f t="shared" si="27"/>
        <v>0</v>
      </c>
      <c r="DI37" s="21">
        <f t="shared" si="27"/>
        <v>0</v>
      </c>
      <c r="DJ37" s="21">
        <f t="shared" si="27"/>
        <v>0</v>
      </c>
      <c r="DK37" s="21">
        <f t="shared" si="27"/>
        <v>0</v>
      </c>
      <c r="DL37" s="21">
        <f t="shared" si="27"/>
        <v>0</v>
      </c>
      <c r="DM37" s="21">
        <f t="shared" si="27"/>
        <v>189538</v>
      </c>
      <c r="DN37" s="21">
        <f t="shared" si="27"/>
        <v>0</v>
      </c>
      <c r="DO37" s="21">
        <f t="shared" si="27"/>
        <v>0</v>
      </c>
      <c r="DP37" s="21">
        <f t="shared" si="27"/>
        <v>0</v>
      </c>
      <c r="DQ37" s="21">
        <f t="shared" si="27"/>
        <v>0</v>
      </c>
      <c r="DR37" s="21">
        <f t="shared" si="27"/>
        <v>0</v>
      </c>
      <c r="DS37" s="21">
        <f t="shared" si="27"/>
        <v>0</v>
      </c>
      <c r="DT37" s="21">
        <f t="shared" si="27"/>
        <v>0</v>
      </c>
      <c r="DU37" s="21">
        <f t="shared" si="27"/>
        <v>0</v>
      </c>
      <c r="DV37" s="21">
        <f t="shared" si="28"/>
        <v>0</v>
      </c>
      <c r="DW37" s="21">
        <f t="shared" si="28"/>
        <v>8618500</v>
      </c>
      <c r="DX37" s="21">
        <f t="shared" si="28"/>
        <v>0</v>
      </c>
      <c r="DY37" s="21">
        <f t="shared" si="28"/>
        <v>0</v>
      </c>
      <c r="DZ37" s="21">
        <f t="shared" si="28"/>
        <v>0</v>
      </c>
      <c r="EA37" s="21">
        <f t="shared" si="28"/>
        <v>0</v>
      </c>
      <c r="EB37" s="21">
        <f t="shared" si="28"/>
        <v>5820</v>
      </c>
      <c r="EC37" s="46"/>
      <c r="EE37" s="39">
        <f t="shared" si="29"/>
        <v>58800000</v>
      </c>
      <c r="EF37" s="39">
        <f t="shared" si="30"/>
        <v>49986142</v>
      </c>
    </row>
    <row r="38" spans="1:136" ht="32.4" hidden="1" customHeight="1" x14ac:dyDescent="0.25">
      <c r="A38" s="167"/>
      <c r="B38" s="172"/>
      <c r="C38" s="17" t="s">
        <v>136</v>
      </c>
      <c r="D38" s="29" t="s">
        <v>137</v>
      </c>
      <c r="E38" s="19">
        <v>410</v>
      </c>
      <c r="F38" s="20" t="s">
        <v>138</v>
      </c>
      <c r="G38" s="21">
        <f t="shared" si="20"/>
        <v>414000000</v>
      </c>
      <c r="H38" s="22">
        <f>280000000+500000000</f>
        <v>780000000</v>
      </c>
      <c r="I38" s="22">
        <f t="shared" si="31"/>
        <v>366000000</v>
      </c>
      <c r="J38" s="21"/>
      <c r="K38" s="21"/>
      <c r="L38" s="21"/>
      <c r="M38" s="21"/>
      <c r="N38" s="21"/>
      <c r="O38" s="21"/>
      <c r="P38" s="21"/>
      <c r="Q38" s="21">
        <f>260000000+90000000-16000000</f>
        <v>334000000</v>
      </c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>
        <f>33000000+2000000+10000000+10000000+25000000</f>
        <v>80000000</v>
      </c>
      <c r="AG38" s="23">
        <f t="shared" si="1"/>
        <v>0.72797269806763287</v>
      </c>
      <c r="AH38" s="21">
        <f t="shared" si="21"/>
        <v>301380697</v>
      </c>
      <c r="AI38" s="21"/>
      <c r="AJ38" s="21"/>
      <c r="AK38" s="21"/>
      <c r="AL38" s="21"/>
      <c r="AM38" s="21"/>
      <c r="AN38" s="21"/>
      <c r="AO38" s="21"/>
      <c r="AP38" s="21">
        <f>+'[1]Acuerdo PLAN INVERSIÓN 2021'!$S$2208</f>
        <v>222151297</v>
      </c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>
        <f>+'[1]Acuerdo PLAN INVERSIÓN 2021'!$AF$2208</f>
        <v>79229400</v>
      </c>
      <c r="BF38" s="23">
        <f t="shared" si="12"/>
        <v>0.27202730193236713</v>
      </c>
      <c r="BG38" s="21">
        <f t="shared" si="22"/>
        <v>112619303</v>
      </c>
      <c r="BH38" s="21">
        <f t="shared" si="23"/>
        <v>0</v>
      </c>
      <c r="BI38" s="21">
        <f t="shared" si="23"/>
        <v>0</v>
      </c>
      <c r="BJ38" s="21">
        <f t="shared" si="23"/>
        <v>0</v>
      </c>
      <c r="BK38" s="21">
        <f t="shared" si="23"/>
        <v>0</v>
      </c>
      <c r="BL38" s="21">
        <f t="shared" si="23"/>
        <v>0</v>
      </c>
      <c r="BM38" s="21">
        <f t="shared" si="23"/>
        <v>0</v>
      </c>
      <c r="BN38" s="21">
        <f t="shared" si="23"/>
        <v>0</v>
      </c>
      <c r="BO38" s="21">
        <f t="shared" si="23"/>
        <v>111848703</v>
      </c>
      <c r="BP38" s="21">
        <f t="shared" si="23"/>
        <v>0</v>
      </c>
      <c r="BQ38" s="21">
        <f t="shared" si="23"/>
        <v>0</v>
      </c>
      <c r="BR38" s="21">
        <f t="shared" si="23"/>
        <v>0</v>
      </c>
      <c r="BS38" s="21">
        <f t="shared" si="23"/>
        <v>0</v>
      </c>
      <c r="BT38" s="21">
        <f t="shared" si="23"/>
        <v>0</v>
      </c>
      <c r="BU38" s="21">
        <f t="shared" si="23"/>
        <v>0</v>
      </c>
      <c r="BV38" s="21">
        <f t="shared" si="23"/>
        <v>0</v>
      </c>
      <c r="BW38" s="21">
        <f t="shared" si="23"/>
        <v>0</v>
      </c>
      <c r="BX38" s="21">
        <f t="shared" si="24"/>
        <v>0</v>
      </c>
      <c r="BY38" s="21">
        <f t="shared" si="24"/>
        <v>0</v>
      </c>
      <c r="BZ38" s="21">
        <f t="shared" si="24"/>
        <v>0</v>
      </c>
      <c r="CA38" s="21">
        <f t="shared" si="24"/>
        <v>0</v>
      </c>
      <c r="CB38" s="21">
        <f t="shared" si="24"/>
        <v>0</v>
      </c>
      <c r="CC38" s="21">
        <f t="shared" si="24"/>
        <v>0</v>
      </c>
      <c r="CD38" s="21">
        <f t="shared" si="24"/>
        <v>770600</v>
      </c>
      <c r="CE38" s="23">
        <f t="shared" si="6"/>
        <v>0.72797269806763287</v>
      </c>
      <c r="CF38" s="21">
        <f t="shared" si="25"/>
        <v>301380697</v>
      </c>
      <c r="CG38" s="21"/>
      <c r="CH38" s="21"/>
      <c r="CI38" s="21"/>
      <c r="CJ38" s="21"/>
      <c r="CK38" s="21"/>
      <c r="CL38" s="21"/>
      <c r="CM38" s="21"/>
      <c r="CN38" s="21">
        <f>+'[1]Acuerdo PLAN INVERSIÓN 2021'!$S$2208</f>
        <v>222151297</v>
      </c>
      <c r="CO38" s="21"/>
      <c r="CP38" s="21"/>
      <c r="CQ38" s="21"/>
      <c r="CR38" s="21"/>
      <c r="CS38" s="21"/>
      <c r="CT38" s="21"/>
      <c r="CU38" s="21"/>
      <c r="CV38" s="21"/>
      <c r="CW38" s="21"/>
      <c r="CX38" s="21"/>
      <c r="CY38" s="21"/>
      <c r="CZ38" s="21"/>
      <c r="DA38" s="21"/>
      <c r="DB38" s="21"/>
      <c r="DC38" s="21">
        <f>+'[1]Acuerdo PLAN INVERSIÓN 2021'!$AF$2208</f>
        <v>79229400</v>
      </c>
      <c r="DD38" s="23">
        <f t="shared" si="8"/>
        <v>0.27202730193236713</v>
      </c>
      <c r="DE38" s="21">
        <f t="shared" si="26"/>
        <v>112619303</v>
      </c>
      <c r="DF38" s="21">
        <f t="shared" si="27"/>
        <v>0</v>
      </c>
      <c r="DG38" s="21">
        <f t="shared" si="27"/>
        <v>0</v>
      </c>
      <c r="DH38" s="21">
        <f t="shared" si="27"/>
        <v>0</v>
      </c>
      <c r="DI38" s="21">
        <f t="shared" si="27"/>
        <v>0</v>
      </c>
      <c r="DJ38" s="21">
        <f t="shared" si="27"/>
        <v>0</v>
      </c>
      <c r="DK38" s="21">
        <f t="shared" si="27"/>
        <v>0</v>
      </c>
      <c r="DL38" s="21">
        <f t="shared" si="27"/>
        <v>0</v>
      </c>
      <c r="DM38" s="21">
        <f t="shared" si="27"/>
        <v>111848703</v>
      </c>
      <c r="DN38" s="21">
        <f t="shared" si="27"/>
        <v>0</v>
      </c>
      <c r="DO38" s="21">
        <f t="shared" si="27"/>
        <v>0</v>
      </c>
      <c r="DP38" s="21">
        <f t="shared" si="27"/>
        <v>0</v>
      </c>
      <c r="DQ38" s="21">
        <f t="shared" si="27"/>
        <v>0</v>
      </c>
      <c r="DR38" s="21">
        <f t="shared" si="27"/>
        <v>0</v>
      </c>
      <c r="DS38" s="21">
        <f t="shared" si="27"/>
        <v>0</v>
      </c>
      <c r="DT38" s="21">
        <f t="shared" si="27"/>
        <v>0</v>
      </c>
      <c r="DU38" s="21">
        <f t="shared" si="27"/>
        <v>0</v>
      </c>
      <c r="DV38" s="21">
        <f t="shared" si="28"/>
        <v>0</v>
      </c>
      <c r="DW38" s="21">
        <f t="shared" si="28"/>
        <v>0</v>
      </c>
      <c r="DX38" s="21">
        <f t="shared" si="28"/>
        <v>0</v>
      </c>
      <c r="DY38" s="21">
        <f t="shared" si="28"/>
        <v>0</v>
      </c>
      <c r="DZ38" s="21">
        <f t="shared" si="28"/>
        <v>0</v>
      </c>
      <c r="EA38" s="21">
        <f t="shared" si="28"/>
        <v>0</v>
      </c>
      <c r="EB38" s="21">
        <f t="shared" si="28"/>
        <v>770600</v>
      </c>
      <c r="EC38" s="46"/>
      <c r="EE38" s="39">
        <f t="shared" si="29"/>
        <v>414000000</v>
      </c>
      <c r="EF38" s="39">
        <f t="shared" si="30"/>
        <v>301380697</v>
      </c>
    </row>
    <row r="39" spans="1:136" ht="33.75" hidden="1" customHeight="1" x14ac:dyDescent="0.25">
      <c r="A39" s="167"/>
      <c r="B39" s="172"/>
      <c r="C39" s="44" t="s">
        <v>139</v>
      </c>
      <c r="D39" s="29" t="s">
        <v>140</v>
      </c>
      <c r="E39" s="30">
        <v>410</v>
      </c>
      <c r="F39" s="31" t="s">
        <v>141</v>
      </c>
      <c r="G39" s="21">
        <f t="shared" si="20"/>
        <v>694924898</v>
      </c>
      <c r="H39" s="22">
        <f>312000000+68000000</f>
        <v>380000000</v>
      </c>
      <c r="I39" s="22">
        <f t="shared" si="31"/>
        <v>-314924898</v>
      </c>
      <c r="J39" s="21"/>
      <c r="K39" s="21"/>
      <c r="L39" s="21"/>
      <c r="M39" s="21"/>
      <c r="N39" s="21"/>
      <c r="O39" s="21"/>
      <c r="P39" s="21"/>
      <c r="Q39" s="21">
        <f>300000000+60000000-5883333</f>
        <v>354116667</v>
      </c>
      <c r="R39" s="21"/>
      <c r="S39" s="21">
        <f>65000000+65000000</f>
        <v>130000000</v>
      </c>
      <c r="T39" s="21"/>
      <c r="U39" s="21"/>
      <c r="V39" s="21"/>
      <c r="W39" s="21"/>
      <c r="X39" s="21">
        <v>44699850</v>
      </c>
      <c r="Y39" s="21"/>
      <c r="Z39" s="21"/>
      <c r="AA39" s="21"/>
      <c r="AB39" s="21"/>
      <c r="AC39" s="21"/>
      <c r="AD39" s="21"/>
      <c r="AE39" s="21"/>
      <c r="AF39" s="21">
        <f>70000000+14000000+10000000+49193553+6000000+8738094+8176734</f>
        <v>166108381</v>
      </c>
      <c r="AG39" s="23">
        <f t="shared" si="1"/>
        <v>0.36396935082904452</v>
      </c>
      <c r="AH39" s="21">
        <f t="shared" si="21"/>
        <v>252931364</v>
      </c>
      <c r="AI39" s="21"/>
      <c r="AJ39" s="21"/>
      <c r="AK39" s="21"/>
      <c r="AL39" s="21"/>
      <c r="AM39" s="21"/>
      <c r="AN39" s="21"/>
      <c r="AO39" s="21"/>
      <c r="AP39" s="21">
        <f>+'[1]Acuerdo PLAN INVERSIÓN 2021'!$S$2400</f>
        <v>156612361</v>
      </c>
      <c r="AQ39" s="21"/>
      <c r="AR39" s="21">
        <f>+'[1]Acuerdo PLAN INVERSIÓN 2021'!$U$2400</f>
        <v>7535729</v>
      </c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>
        <f>+'[1]Acuerdo PLAN INVERSIÓN 2021'!$AF$2400</f>
        <v>88783274</v>
      </c>
      <c r="BF39" s="23">
        <f t="shared" si="12"/>
        <v>0.63603064917095553</v>
      </c>
      <c r="BG39" s="21">
        <f t="shared" si="22"/>
        <v>441993534</v>
      </c>
      <c r="BH39" s="21">
        <f t="shared" si="23"/>
        <v>0</v>
      </c>
      <c r="BI39" s="21">
        <f t="shared" si="23"/>
        <v>0</v>
      </c>
      <c r="BJ39" s="21">
        <f t="shared" si="23"/>
        <v>0</v>
      </c>
      <c r="BK39" s="21">
        <f t="shared" si="23"/>
        <v>0</v>
      </c>
      <c r="BL39" s="21">
        <f t="shared" si="23"/>
        <v>0</v>
      </c>
      <c r="BM39" s="21">
        <f t="shared" si="23"/>
        <v>0</v>
      </c>
      <c r="BN39" s="21">
        <f t="shared" si="23"/>
        <v>0</v>
      </c>
      <c r="BO39" s="21">
        <f t="shared" si="23"/>
        <v>197504306</v>
      </c>
      <c r="BP39" s="21">
        <f t="shared" si="23"/>
        <v>0</v>
      </c>
      <c r="BQ39" s="21">
        <f t="shared" si="23"/>
        <v>122464271</v>
      </c>
      <c r="BR39" s="21">
        <f t="shared" si="23"/>
        <v>0</v>
      </c>
      <c r="BS39" s="21">
        <f t="shared" si="23"/>
        <v>0</v>
      </c>
      <c r="BT39" s="21">
        <f t="shared" si="23"/>
        <v>0</v>
      </c>
      <c r="BU39" s="21">
        <f t="shared" si="23"/>
        <v>0</v>
      </c>
      <c r="BV39" s="21">
        <f t="shared" si="23"/>
        <v>44699850</v>
      </c>
      <c r="BW39" s="21">
        <f t="shared" si="23"/>
        <v>0</v>
      </c>
      <c r="BX39" s="21">
        <f t="shared" si="24"/>
        <v>0</v>
      </c>
      <c r="BY39" s="21">
        <f t="shared" si="24"/>
        <v>0</v>
      </c>
      <c r="BZ39" s="21">
        <f t="shared" si="24"/>
        <v>0</v>
      </c>
      <c r="CA39" s="21">
        <f t="shared" si="24"/>
        <v>0</v>
      </c>
      <c r="CB39" s="21">
        <f t="shared" si="24"/>
        <v>0</v>
      </c>
      <c r="CC39" s="21">
        <f t="shared" si="24"/>
        <v>0</v>
      </c>
      <c r="CD39" s="21">
        <f t="shared" si="24"/>
        <v>77325107</v>
      </c>
      <c r="CE39" s="23">
        <f t="shared" si="6"/>
        <v>0.36396935082904452</v>
      </c>
      <c r="CF39" s="21">
        <f t="shared" si="25"/>
        <v>252931364</v>
      </c>
      <c r="CG39" s="21"/>
      <c r="CH39" s="21"/>
      <c r="CI39" s="21"/>
      <c r="CJ39" s="21"/>
      <c r="CK39" s="21"/>
      <c r="CL39" s="21"/>
      <c r="CM39" s="21"/>
      <c r="CN39" s="21">
        <f>+'[1]Acuerdo PLAN INVERSIÓN 2021'!$S$2400</f>
        <v>156612361</v>
      </c>
      <c r="CO39" s="21"/>
      <c r="CP39" s="21">
        <f>+'[1]Acuerdo PLAN INVERSIÓN 2021'!$U$2400</f>
        <v>7535729</v>
      </c>
      <c r="CQ39" s="21"/>
      <c r="CR39" s="21"/>
      <c r="CS39" s="21"/>
      <c r="CT39" s="21"/>
      <c r="CU39" s="21"/>
      <c r="CV39" s="21"/>
      <c r="CW39" s="21"/>
      <c r="CX39" s="21"/>
      <c r="CY39" s="21"/>
      <c r="CZ39" s="21"/>
      <c r="DA39" s="21"/>
      <c r="DB39" s="21"/>
      <c r="DC39" s="21">
        <f>+'[1]Acuerdo PLAN INVERSIÓN 2021'!$AF$2400</f>
        <v>88783274</v>
      </c>
      <c r="DD39" s="23">
        <f t="shared" si="8"/>
        <v>0.63603064917095553</v>
      </c>
      <c r="DE39" s="21">
        <f t="shared" si="26"/>
        <v>441993534</v>
      </c>
      <c r="DF39" s="21">
        <f t="shared" si="27"/>
        <v>0</v>
      </c>
      <c r="DG39" s="21">
        <f t="shared" si="27"/>
        <v>0</v>
      </c>
      <c r="DH39" s="21">
        <f t="shared" si="27"/>
        <v>0</v>
      </c>
      <c r="DI39" s="21">
        <f t="shared" si="27"/>
        <v>0</v>
      </c>
      <c r="DJ39" s="21">
        <f t="shared" si="27"/>
        <v>0</v>
      </c>
      <c r="DK39" s="21">
        <f t="shared" si="27"/>
        <v>0</v>
      </c>
      <c r="DL39" s="21">
        <f t="shared" si="27"/>
        <v>0</v>
      </c>
      <c r="DM39" s="21">
        <f t="shared" si="27"/>
        <v>197504306</v>
      </c>
      <c r="DN39" s="21">
        <f t="shared" si="27"/>
        <v>0</v>
      </c>
      <c r="DO39" s="21">
        <f t="shared" si="27"/>
        <v>122464271</v>
      </c>
      <c r="DP39" s="21">
        <f t="shared" si="27"/>
        <v>0</v>
      </c>
      <c r="DQ39" s="21">
        <f t="shared" si="27"/>
        <v>0</v>
      </c>
      <c r="DR39" s="21">
        <f t="shared" si="27"/>
        <v>0</v>
      </c>
      <c r="DS39" s="21">
        <f t="shared" si="27"/>
        <v>0</v>
      </c>
      <c r="DT39" s="21">
        <f t="shared" si="27"/>
        <v>44699850</v>
      </c>
      <c r="DU39" s="21">
        <f t="shared" si="27"/>
        <v>0</v>
      </c>
      <c r="DV39" s="21">
        <f t="shared" si="28"/>
        <v>0</v>
      </c>
      <c r="DW39" s="21">
        <f t="shared" si="28"/>
        <v>0</v>
      </c>
      <c r="DX39" s="21">
        <f t="shared" si="28"/>
        <v>0</v>
      </c>
      <c r="DY39" s="21">
        <f t="shared" si="28"/>
        <v>0</v>
      </c>
      <c r="DZ39" s="21">
        <f t="shared" si="28"/>
        <v>0</v>
      </c>
      <c r="EA39" s="21">
        <f t="shared" si="28"/>
        <v>0</v>
      </c>
      <c r="EB39" s="21">
        <f t="shared" si="28"/>
        <v>77325107</v>
      </c>
      <c r="EE39" s="39">
        <f t="shared" si="29"/>
        <v>694924898</v>
      </c>
      <c r="EF39" s="39">
        <f t="shared" si="30"/>
        <v>252931364</v>
      </c>
    </row>
    <row r="40" spans="1:136" ht="18.75" hidden="1" customHeight="1" x14ac:dyDescent="0.25">
      <c r="A40" s="167"/>
      <c r="B40" s="172"/>
      <c r="C40" s="17" t="s">
        <v>142</v>
      </c>
      <c r="D40" s="29" t="s">
        <v>143</v>
      </c>
      <c r="E40" s="19">
        <v>410</v>
      </c>
      <c r="F40" s="31" t="s">
        <v>105</v>
      </c>
      <c r="G40" s="21">
        <f t="shared" si="20"/>
        <v>70883333</v>
      </c>
      <c r="H40" s="22">
        <v>36000000</v>
      </c>
      <c r="I40" s="22">
        <f t="shared" si="31"/>
        <v>-34883333</v>
      </c>
      <c r="J40" s="21"/>
      <c r="K40" s="21">
        <v>30000000</v>
      </c>
      <c r="L40" s="21"/>
      <c r="M40" s="21"/>
      <c r="N40" s="21"/>
      <c r="O40" s="21"/>
      <c r="P40" s="21"/>
      <c r="Q40" s="21">
        <f>30000000+5000000+5883333</f>
        <v>40883333</v>
      </c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3">
        <f t="shared" si="1"/>
        <v>0.99741358098948307</v>
      </c>
      <c r="AH40" s="21">
        <f t="shared" si="21"/>
        <v>70699999</v>
      </c>
      <c r="AI40" s="21"/>
      <c r="AJ40" s="21">
        <f>+'[4]Acuerdo PLAN INVERSIÓN 2021'!$J$1014</f>
        <v>30000000</v>
      </c>
      <c r="AK40" s="21"/>
      <c r="AL40" s="21"/>
      <c r="AM40" s="21"/>
      <c r="AN40" s="21"/>
      <c r="AO40" s="21"/>
      <c r="AP40" s="21">
        <f>+'[1]Acuerdo PLAN INVERSIÓN 2021'!$S$2699</f>
        <v>40699999</v>
      </c>
      <c r="AQ40" s="21"/>
      <c r="AR40" s="21"/>
      <c r="AS40" s="21"/>
      <c r="AT40" s="21"/>
      <c r="AU40" s="21"/>
      <c r="AV40" s="21"/>
      <c r="AW40" s="21"/>
      <c r="AX40" s="21"/>
      <c r="AY40" s="21"/>
      <c r="AZ40" s="21"/>
      <c r="BA40" s="21"/>
      <c r="BB40" s="21"/>
      <c r="BC40" s="21"/>
      <c r="BD40" s="21"/>
      <c r="BE40" s="21"/>
      <c r="BF40" s="23">
        <f t="shared" si="12"/>
        <v>2.5864190105169271E-3</v>
      </c>
      <c r="BG40" s="21">
        <f t="shared" si="22"/>
        <v>183334</v>
      </c>
      <c r="BH40" s="21">
        <f t="shared" si="23"/>
        <v>0</v>
      </c>
      <c r="BI40" s="21">
        <f t="shared" si="23"/>
        <v>0</v>
      </c>
      <c r="BJ40" s="21">
        <f t="shared" si="23"/>
        <v>0</v>
      </c>
      <c r="BK40" s="21">
        <f t="shared" si="23"/>
        <v>0</v>
      </c>
      <c r="BL40" s="21">
        <f t="shared" si="23"/>
        <v>0</v>
      </c>
      <c r="BM40" s="21">
        <f t="shared" si="23"/>
        <v>0</v>
      </c>
      <c r="BN40" s="21">
        <f t="shared" si="23"/>
        <v>0</v>
      </c>
      <c r="BO40" s="21">
        <f t="shared" si="23"/>
        <v>183334</v>
      </c>
      <c r="BP40" s="21">
        <f t="shared" si="23"/>
        <v>0</v>
      </c>
      <c r="BQ40" s="21">
        <f t="shared" si="23"/>
        <v>0</v>
      </c>
      <c r="BR40" s="21">
        <f t="shared" si="23"/>
        <v>0</v>
      </c>
      <c r="BS40" s="21">
        <f t="shared" si="23"/>
        <v>0</v>
      </c>
      <c r="BT40" s="21">
        <f t="shared" si="23"/>
        <v>0</v>
      </c>
      <c r="BU40" s="21">
        <f t="shared" si="23"/>
        <v>0</v>
      </c>
      <c r="BV40" s="21">
        <f t="shared" si="23"/>
        <v>0</v>
      </c>
      <c r="BW40" s="21">
        <f t="shared" si="23"/>
        <v>0</v>
      </c>
      <c r="BX40" s="21">
        <f t="shared" si="24"/>
        <v>0</v>
      </c>
      <c r="BY40" s="21">
        <f t="shared" si="24"/>
        <v>0</v>
      </c>
      <c r="BZ40" s="21">
        <f t="shared" si="24"/>
        <v>0</v>
      </c>
      <c r="CA40" s="21">
        <f t="shared" si="24"/>
        <v>0</v>
      </c>
      <c r="CB40" s="21">
        <f t="shared" si="24"/>
        <v>0</v>
      </c>
      <c r="CC40" s="21">
        <f t="shared" si="24"/>
        <v>0</v>
      </c>
      <c r="CD40" s="21">
        <f t="shared" si="24"/>
        <v>0</v>
      </c>
      <c r="CE40" s="23">
        <f t="shared" si="6"/>
        <v>0.99741358098948307</v>
      </c>
      <c r="CF40" s="21">
        <f t="shared" si="25"/>
        <v>70699999</v>
      </c>
      <c r="CG40" s="21"/>
      <c r="CH40" s="21">
        <f>+'[4]Acuerdo PLAN INVERSIÓN 2021'!$J$1014</f>
        <v>30000000</v>
      </c>
      <c r="CI40" s="21"/>
      <c r="CJ40" s="21"/>
      <c r="CK40" s="21"/>
      <c r="CL40" s="21"/>
      <c r="CM40" s="21"/>
      <c r="CN40" s="21">
        <f>+'[1]Acuerdo PLAN INVERSIÓN 2021'!$S$2699</f>
        <v>40699999</v>
      </c>
      <c r="CO40" s="21"/>
      <c r="CP40" s="21"/>
      <c r="CQ40" s="21"/>
      <c r="CR40" s="21"/>
      <c r="CS40" s="21"/>
      <c r="CT40" s="21"/>
      <c r="CU40" s="21"/>
      <c r="CV40" s="21"/>
      <c r="CW40" s="21"/>
      <c r="CX40" s="21"/>
      <c r="CY40" s="21"/>
      <c r="CZ40" s="21"/>
      <c r="DA40" s="21"/>
      <c r="DB40" s="21"/>
      <c r="DC40" s="21"/>
      <c r="DD40" s="23">
        <f t="shared" si="8"/>
        <v>2.5864190105169271E-3</v>
      </c>
      <c r="DE40" s="21">
        <f t="shared" si="26"/>
        <v>183334</v>
      </c>
      <c r="DF40" s="21">
        <f t="shared" si="27"/>
        <v>0</v>
      </c>
      <c r="DG40" s="21">
        <f t="shared" si="27"/>
        <v>0</v>
      </c>
      <c r="DH40" s="21">
        <f t="shared" si="27"/>
        <v>0</v>
      </c>
      <c r="DI40" s="21">
        <f t="shared" si="27"/>
        <v>0</v>
      </c>
      <c r="DJ40" s="21">
        <f t="shared" si="27"/>
        <v>0</v>
      </c>
      <c r="DK40" s="21">
        <f t="shared" si="27"/>
        <v>0</v>
      </c>
      <c r="DL40" s="21">
        <f t="shared" si="27"/>
        <v>0</v>
      </c>
      <c r="DM40" s="21">
        <f t="shared" si="27"/>
        <v>183334</v>
      </c>
      <c r="DN40" s="21">
        <f t="shared" si="27"/>
        <v>0</v>
      </c>
      <c r="DO40" s="21">
        <f t="shared" si="27"/>
        <v>0</v>
      </c>
      <c r="DP40" s="21">
        <f t="shared" si="27"/>
        <v>0</v>
      </c>
      <c r="DQ40" s="21">
        <f t="shared" si="27"/>
        <v>0</v>
      </c>
      <c r="DR40" s="21">
        <f t="shared" si="27"/>
        <v>0</v>
      </c>
      <c r="DS40" s="21">
        <f t="shared" si="27"/>
        <v>0</v>
      </c>
      <c r="DT40" s="21">
        <f t="shared" si="27"/>
        <v>0</v>
      </c>
      <c r="DU40" s="21">
        <f t="shared" si="27"/>
        <v>0</v>
      </c>
      <c r="DV40" s="21">
        <f t="shared" si="28"/>
        <v>0</v>
      </c>
      <c r="DW40" s="21">
        <f t="shared" si="28"/>
        <v>0</v>
      </c>
      <c r="DX40" s="21">
        <f t="shared" si="28"/>
        <v>0</v>
      </c>
      <c r="DY40" s="21">
        <f t="shared" si="28"/>
        <v>0</v>
      </c>
      <c r="DZ40" s="21">
        <f t="shared" si="28"/>
        <v>0</v>
      </c>
      <c r="EA40" s="21">
        <f t="shared" si="28"/>
        <v>0</v>
      </c>
      <c r="EB40" s="21">
        <f t="shared" si="28"/>
        <v>0</v>
      </c>
      <c r="EE40" s="39">
        <f t="shared" si="29"/>
        <v>70883333</v>
      </c>
      <c r="EF40" s="39">
        <f t="shared" si="30"/>
        <v>70699999</v>
      </c>
    </row>
    <row r="41" spans="1:136" ht="27.75" hidden="1" customHeight="1" x14ac:dyDescent="0.25">
      <c r="A41" s="167"/>
      <c r="B41" s="172"/>
      <c r="C41" s="17" t="s">
        <v>144</v>
      </c>
      <c r="D41" s="29" t="s">
        <v>145</v>
      </c>
      <c r="E41" s="19">
        <v>410</v>
      </c>
      <c r="F41" s="31" t="s">
        <v>146</v>
      </c>
      <c r="G41" s="21">
        <f t="shared" si="20"/>
        <v>146000000</v>
      </c>
      <c r="H41" s="22">
        <v>122400000</v>
      </c>
      <c r="I41" s="22">
        <f t="shared" si="31"/>
        <v>-23600000</v>
      </c>
      <c r="J41" s="21"/>
      <c r="K41" s="21"/>
      <c r="L41" s="21"/>
      <c r="M41" s="21"/>
      <c r="N41" s="21"/>
      <c r="O41" s="21"/>
      <c r="P41" s="21"/>
      <c r="Q41" s="21">
        <f>50000000+90000000</f>
        <v>140000000</v>
      </c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>
        <f>3000000+2000000+7000000-6000000</f>
        <v>6000000</v>
      </c>
      <c r="AG41" s="23">
        <f t="shared" si="1"/>
        <v>0.42681685616438358</v>
      </c>
      <c r="AH41" s="21">
        <f t="shared" si="21"/>
        <v>62315261</v>
      </c>
      <c r="AI41" s="21"/>
      <c r="AJ41" s="21"/>
      <c r="AK41" s="21"/>
      <c r="AL41" s="21"/>
      <c r="AM41" s="21"/>
      <c r="AN41" s="21"/>
      <c r="AO41" s="21"/>
      <c r="AP41" s="21">
        <f>+'[1]Acuerdo PLAN INVERSIÓN 2021'!$S$2721</f>
        <v>61315261</v>
      </c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>
        <f>+'[1]Acuerdo PLAN INVERSIÓN 2021'!$AF$2721</f>
        <v>1000000</v>
      </c>
      <c r="BF41" s="23">
        <f t="shared" si="12"/>
        <v>0.57318314383561642</v>
      </c>
      <c r="BG41" s="21">
        <f t="shared" si="22"/>
        <v>83684739</v>
      </c>
      <c r="BH41" s="21">
        <f t="shared" si="23"/>
        <v>0</v>
      </c>
      <c r="BI41" s="21">
        <f t="shared" si="23"/>
        <v>0</v>
      </c>
      <c r="BJ41" s="21">
        <f t="shared" si="23"/>
        <v>0</v>
      </c>
      <c r="BK41" s="21">
        <f t="shared" si="23"/>
        <v>0</v>
      </c>
      <c r="BL41" s="21">
        <f t="shared" si="23"/>
        <v>0</v>
      </c>
      <c r="BM41" s="21">
        <f t="shared" si="23"/>
        <v>0</v>
      </c>
      <c r="BN41" s="21">
        <f t="shared" si="23"/>
        <v>0</v>
      </c>
      <c r="BO41" s="21">
        <f t="shared" si="23"/>
        <v>78684739</v>
      </c>
      <c r="BP41" s="21">
        <f t="shared" si="23"/>
        <v>0</v>
      </c>
      <c r="BQ41" s="21">
        <f t="shared" si="23"/>
        <v>0</v>
      </c>
      <c r="BR41" s="21">
        <f t="shared" si="23"/>
        <v>0</v>
      </c>
      <c r="BS41" s="21">
        <f t="shared" si="23"/>
        <v>0</v>
      </c>
      <c r="BT41" s="21">
        <f t="shared" si="23"/>
        <v>0</v>
      </c>
      <c r="BU41" s="21">
        <f t="shared" si="23"/>
        <v>0</v>
      </c>
      <c r="BV41" s="21">
        <f t="shared" si="23"/>
        <v>0</v>
      </c>
      <c r="BW41" s="21">
        <f t="shared" ref="BW41:BW50" si="32">+Y41-AX41</f>
        <v>0</v>
      </c>
      <c r="BX41" s="21">
        <f t="shared" si="24"/>
        <v>0</v>
      </c>
      <c r="BY41" s="21">
        <f t="shared" si="24"/>
        <v>0</v>
      </c>
      <c r="BZ41" s="21">
        <f t="shared" si="24"/>
        <v>0</v>
      </c>
      <c r="CA41" s="21">
        <f t="shared" si="24"/>
        <v>0</v>
      </c>
      <c r="CB41" s="21">
        <f t="shared" si="24"/>
        <v>0</v>
      </c>
      <c r="CC41" s="21">
        <f t="shared" si="24"/>
        <v>0</v>
      </c>
      <c r="CD41" s="21">
        <f t="shared" si="24"/>
        <v>5000000</v>
      </c>
      <c r="CE41" s="23">
        <f t="shared" si="6"/>
        <v>0.42681685616438358</v>
      </c>
      <c r="CF41" s="21">
        <f t="shared" si="25"/>
        <v>62315261</v>
      </c>
      <c r="CG41" s="21"/>
      <c r="CH41" s="21"/>
      <c r="CI41" s="21"/>
      <c r="CJ41" s="21"/>
      <c r="CK41" s="21"/>
      <c r="CL41" s="21"/>
      <c r="CM41" s="21"/>
      <c r="CN41" s="21">
        <f>+'[1]Acuerdo PLAN INVERSIÓN 2021'!$S$2721</f>
        <v>61315261</v>
      </c>
      <c r="CO41" s="21"/>
      <c r="CP41" s="21"/>
      <c r="CQ41" s="21"/>
      <c r="CR41" s="21"/>
      <c r="CS41" s="21"/>
      <c r="CT41" s="21"/>
      <c r="CU41" s="21"/>
      <c r="CV41" s="21"/>
      <c r="CW41" s="21"/>
      <c r="CX41" s="21"/>
      <c r="CY41" s="21"/>
      <c r="CZ41" s="21"/>
      <c r="DA41" s="21"/>
      <c r="DB41" s="21"/>
      <c r="DC41" s="21">
        <f>+'[1]Acuerdo PLAN INVERSIÓN 2021'!$AF$2721</f>
        <v>1000000</v>
      </c>
      <c r="DD41" s="23">
        <f t="shared" si="8"/>
        <v>0.57318314383561642</v>
      </c>
      <c r="DE41" s="21">
        <f t="shared" si="26"/>
        <v>83684739</v>
      </c>
      <c r="DF41" s="21">
        <f t="shared" si="27"/>
        <v>0</v>
      </c>
      <c r="DG41" s="21">
        <f t="shared" si="27"/>
        <v>0</v>
      </c>
      <c r="DH41" s="21">
        <f t="shared" si="27"/>
        <v>0</v>
      </c>
      <c r="DI41" s="21">
        <f t="shared" si="27"/>
        <v>0</v>
      </c>
      <c r="DJ41" s="21">
        <f t="shared" si="27"/>
        <v>0</v>
      </c>
      <c r="DK41" s="21">
        <f t="shared" si="27"/>
        <v>0</v>
      </c>
      <c r="DL41" s="21">
        <f t="shared" si="27"/>
        <v>0</v>
      </c>
      <c r="DM41" s="21">
        <f t="shared" si="27"/>
        <v>78684739</v>
      </c>
      <c r="DN41" s="21">
        <f t="shared" si="27"/>
        <v>0</v>
      </c>
      <c r="DO41" s="21">
        <f t="shared" si="27"/>
        <v>0</v>
      </c>
      <c r="DP41" s="21">
        <f t="shared" si="27"/>
        <v>0</v>
      </c>
      <c r="DQ41" s="21">
        <f t="shared" si="27"/>
        <v>0</v>
      </c>
      <c r="DR41" s="21">
        <f t="shared" si="27"/>
        <v>0</v>
      </c>
      <c r="DS41" s="21">
        <f t="shared" si="27"/>
        <v>0</v>
      </c>
      <c r="DT41" s="21">
        <f t="shared" si="27"/>
        <v>0</v>
      </c>
      <c r="DU41" s="21">
        <f t="shared" ref="DU41:DU50" si="33">+Y41-CV41</f>
        <v>0</v>
      </c>
      <c r="DV41" s="21">
        <f t="shared" si="28"/>
        <v>0</v>
      </c>
      <c r="DW41" s="21">
        <f t="shared" si="28"/>
        <v>0</v>
      </c>
      <c r="DX41" s="21">
        <f t="shared" si="28"/>
        <v>0</v>
      </c>
      <c r="DY41" s="21">
        <f t="shared" si="28"/>
        <v>0</v>
      </c>
      <c r="DZ41" s="21">
        <f t="shared" si="28"/>
        <v>0</v>
      </c>
      <c r="EA41" s="21">
        <f t="shared" si="28"/>
        <v>0</v>
      </c>
      <c r="EB41" s="21">
        <f t="shared" si="28"/>
        <v>5000000</v>
      </c>
      <c r="EE41" s="39">
        <f t="shared" si="29"/>
        <v>146000000</v>
      </c>
      <c r="EF41" s="39">
        <f t="shared" si="30"/>
        <v>62315261</v>
      </c>
    </row>
    <row r="42" spans="1:136" ht="31.5" hidden="1" customHeight="1" x14ac:dyDescent="0.25">
      <c r="A42" s="167"/>
      <c r="B42" s="172"/>
      <c r="C42" s="17" t="s">
        <v>147</v>
      </c>
      <c r="D42" s="29" t="s">
        <v>148</v>
      </c>
      <c r="E42" s="19">
        <v>410</v>
      </c>
      <c r="F42" s="31" t="s">
        <v>105</v>
      </c>
      <c r="G42" s="21">
        <f t="shared" si="20"/>
        <v>50000000</v>
      </c>
      <c r="H42" s="22">
        <v>62000000</v>
      </c>
      <c r="I42" s="22">
        <f t="shared" si="31"/>
        <v>12000000</v>
      </c>
      <c r="J42" s="21"/>
      <c r="K42" s="21"/>
      <c r="L42" s="21"/>
      <c r="M42" s="21"/>
      <c r="N42" s="21"/>
      <c r="O42" s="21"/>
      <c r="P42" s="21"/>
      <c r="Q42" s="21">
        <v>15000000</v>
      </c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>
        <v>35000000</v>
      </c>
      <c r="AC42" s="21"/>
      <c r="AD42" s="21"/>
      <c r="AE42" s="21"/>
      <c r="AF42" s="21"/>
      <c r="AG42" s="23">
        <f t="shared" si="1"/>
        <v>0.38433331999999998</v>
      </c>
      <c r="AH42" s="21">
        <f t="shared" si="21"/>
        <v>19216666</v>
      </c>
      <c r="AI42" s="21"/>
      <c r="AJ42" s="21"/>
      <c r="AK42" s="21"/>
      <c r="AL42" s="21"/>
      <c r="AM42" s="21"/>
      <c r="AN42" s="21"/>
      <c r="AO42" s="21"/>
      <c r="AP42" s="21">
        <f>+'[1]Acuerdo PLAN INVERSIÓN 2021'!$S$2751</f>
        <v>9216667</v>
      </c>
      <c r="AQ42" s="21"/>
      <c r="AR42" s="21"/>
      <c r="AS42" s="21"/>
      <c r="AT42" s="21"/>
      <c r="AU42" s="21"/>
      <c r="AV42" s="21"/>
      <c r="AW42" s="21"/>
      <c r="AX42" s="21"/>
      <c r="AY42" s="21"/>
      <c r="AZ42" s="21"/>
      <c r="BA42" s="21">
        <f>+'[1]Acuerdo PLAN INVERSIÓN 2021'!$Y$2751</f>
        <v>9999999</v>
      </c>
      <c r="BB42" s="21"/>
      <c r="BC42" s="21"/>
      <c r="BD42" s="21"/>
      <c r="BE42" s="21"/>
      <c r="BF42" s="23">
        <f t="shared" si="12"/>
        <v>0.61566668000000002</v>
      </c>
      <c r="BG42" s="21">
        <f t="shared" si="22"/>
        <v>30783334</v>
      </c>
      <c r="BH42" s="21">
        <f t="shared" ref="BH42:BV50" si="34">+J42-AI42</f>
        <v>0</v>
      </c>
      <c r="BI42" s="21">
        <f t="shared" si="34"/>
        <v>0</v>
      </c>
      <c r="BJ42" s="21">
        <f t="shared" si="34"/>
        <v>0</v>
      </c>
      <c r="BK42" s="21">
        <f t="shared" si="34"/>
        <v>0</v>
      </c>
      <c r="BL42" s="21">
        <f t="shared" si="34"/>
        <v>0</v>
      </c>
      <c r="BM42" s="21">
        <f t="shared" si="34"/>
        <v>0</v>
      </c>
      <c r="BN42" s="21">
        <f t="shared" si="34"/>
        <v>0</v>
      </c>
      <c r="BO42" s="21">
        <f t="shared" si="34"/>
        <v>5783333</v>
      </c>
      <c r="BP42" s="21">
        <f t="shared" si="34"/>
        <v>0</v>
      </c>
      <c r="BQ42" s="21">
        <f t="shared" si="34"/>
        <v>0</v>
      </c>
      <c r="BR42" s="21">
        <f t="shared" si="34"/>
        <v>0</v>
      </c>
      <c r="BS42" s="21">
        <f t="shared" si="34"/>
        <v>0</v>
      </c>
      <c r="BT42" s="21">
        <f t="shared" si="34"/>
        <v>0</v>
      </c>
      <c r="BU42" s="21">
        <f t="shared" si="34"/>
        <v>0</v>
      </c>
      <c r="BV42" s="21">
        <f t="shared" si="34"/>
        <v>0</v>
      </c>
      <c r="BW42" s="21">
        <f t="shared" si="32"/>
        <v>0</v>
      </c>
      <c r="BX42" s="21">
        <f t="shared" si="24"/>
        <v>0</v>
      </c>
      <c r="BY42" s="21">
        <f t="shared" si="24"/>
        <v>0</v>
      </c>
      <c r="BZ42" s="21">
        <f t="shared" si="24"/>
        <v>25000001</v>
      </c>
      <c r="CA42" s="21">
        <f t="shared" si="24"/>
        <v>0</v>
      </c>
      <c r="CB42" s="21">
        <f t="shared" si="24"/>
        <v>0</v>
      </c>
      <c r="CC42" s="21">
        <f t="shared" si="24"/>
        <v>0</v>
      </c>
      <c r="CD42" s="21">
        <f t="shared" si="24"/>
        <v>0</v>
      </c>
      <c r="CE42" s="23">
        <f t="shared" si="6"/>
        <v>0.38433331999999998</v>
      </c>
      <c r="CF42" s="21">
        <f t="shared" si="25"/>
        <v>19216666</v>
      </c>
      <c r="CG42" s="21"/>
      <c r="CH42" s="21"/>
      <c r="CI42" s="21"/>
      <c r="CJ42" s="21"/>
      <c r="CK42" s="21"/>
      <c r="CL42" s="21"/>
      <c r="CM42" s="21"/>
      <c r="CN42" s="21">
        <f>+'[9]Acuerdo PLAN INVERSIÓN 2021'!$H$273</f>
        <v>9216667</v>
      </c>
      <c r="CO42" s="21"/>
      <c r="CP42" s="21"/>
      <c r="CQ42" s="21"/>
      <c r="CR42" s="21"/>
      <c r="CS42" s="21"/>
      <c r="CT42" s="21"/>
      <c r="CU42" s="21"/>
      <c r="CV42" s="21"/>
      <c r="CW42" s="21"/>
      <c r="CX42" s="21"/>
      <c r="CY42" s="21">
        <f>+'[8]Acuerdo PLAN INVERSIÓN 2021'!$H$2108</f>
        <v>9999999</v>
      </c>
      <c r="CZ42" s="21"/>
      <c r="DA42" s="21"/>
      <c r="DB42" s="21"/>
      <c r="DC42" s="21"/>
      <c r="DD42" s="23">
        <f t="shared" si="8"/>
        <v>0.61566668000000002</v>
      </c>
      <c r="DE42" s="21">
        <f t="shared" si="26"/>
        <v>30783334</v>
      </c>
      <c r="DF42" s="21">
        <f t="shared" ref="DF42:DT50" si="35">+J42-CG42</f>
        <v>0</v>
      </c>
      <c r="DG42" s="21">
        <f t="shared" si="35"/>
        <v>0</v>
      </c>
      <c r="DH42" s="21">
        <f t="shared" si="35"/>
        <v>0</v>
      </c>
      <c r="DI42" s="21">
        <f t="shared" si="35"/>
        <v>0</v>
      </c>
      <c r="DJ42" s="21">
        <f t="shared" si="35"/>
        <v>0</v>
      </c>
      <c r="DK42" s="21">
        <f t="shared" si="35"/>
        <v>0</v>
      </c>
      <c r="DL42" s="21">
        <f t="shared" si="35"/>
        <v>0</v>
      </c>
      <c r="DM42" s="21">
        <f t="shared" si="35"/>
        <v>5783333</v>
      </c>
      <c r="DN42" s="21">
        <f t="shared" si="35"/>
        <v>0</v>
      </c>
      <c r="DO42" s="21">
        <f t="shared" si="35"/>
        <v>0</v>
      </c>
      <c r="DP42" s="21">
        <f t="shared" si="35"/>
        <v>0</v>
      </c>
      <c r="DQ42" s="21">
        <f t="shared" si="35"/>
        <v>0</v>
      </c>
      <c r="DR42" s="21">
        <f t="shared" si="35"/>
        <v>0</v>
      </c>
      <c r="DS42" s="21">
        <f t="shared" si="35"/>
        <v>0</v>
      </c>
      <c r="DT42" s="21">
        <f t="shared" si="35"/>
        <v>0</v>
      </c>
      <c r="DU42" s="21">
        <f t="shared" si="33"/>
        <v>0</v>
      </c>
      <c r="DV42" s="21">
        <f t="shared" si="28"/>
        <v>0</v>
      </c>
      <c r="DW42" s="21">
        <f t="shared" si="28"/>
        <v>0</v>
      </c>
      <c r="DX42" s="21">
        <f t="shared" si="28"/>
        <v>25000001</v>
      </c>
      <c r="DY42" s="21">
        <f t="shared" si="28"/>
        <v>0</v>
      </c>
      <c r="DZ42" s="21">
        <f t="shared" si="28"/>
        <v>0</v>
      </c>
      <c r="EA42" s="21">
        <f t="shared" si="28"/>
        <v>0</v>
      </c>
      <c r="EB42" s="21">
        <f t="shared" si="28"/>
        <v>0</v>
      </c>
      <c r="EE42" s="39">
        <f t="shared" si="29"/>
        <v>50000000</v>
      </c>
      <c r="EF42" s="39">
        <f t="shared" si="30"/>
        <v>19216666</v>
      </c>
    </row>
    <row r="43" spans="1:136" ht="21.75" hidden="1" customHeight="1" x14ac:dyDescent="0.25">
      <c r="A43" s="167"/>
      <c r="B43" s="172"/>
      <c r="C43" s="17" t="s">
        <v>149</v>
      </c>
      <c r="D43" s="29" t="s">
        <v>150</v>
      </c>
      <c r="E43" s="19">
        <v>410</v>
      </c>
      <c r="F43" s="31" t="s">
        <v>105</v>
      </c>
      <c r="G43" s="21">
        <f t="shared" si="20"/>
        <v>397484326</v>
      </c>
      <c r="H43" s="22">
        <v>324000000</v>
      </c>
      <c r="I43" s="22">
        <f t="shared" si="31"/>
        <v>-73484326</v>
      </c>
      <c r="J43" s="21"/>
      <c r="K43" s="21"/>
      <c r="L43" s="21"/>
      <c r="M43" s="21"/>
      <c r="N43" s="21"/>
      <c r="O43" s="21"/>
      <c r="P43" s="21"/>
      <c r="Q43" s="21">
        <f>135000000+16000000</f>
        <v>151000000</v>
      </c>
      <c r="R43" s="21"/>
      <c r="S43" s="21"/>
      <c r="T43" s="21"/>
      <c r="U43" s="21"/>
      <c r="V43" s="21"/>
      <c r="W43" s="21"/>
      <c r="X43" s="21"/>
      <c r="Y43" s="21"/>
      <c r="Z43" s="21"/>
      <c r="AA43" s="21">
        <f>266484326-20000000</f>
        <v>246484326</v>
      </c>
      <c r="AB43" s="21"/>
      <c r="AC43" s="21"/>
      <c r="AD43" s="21"/>
      <c r="AE43" s="21"/>
      <c r="AF43" s="21"/>
      <c r="AG43" s="23">
        <f t="shared" si="1"/>
        <v>0.80220548369497213</v>
      </c>
      <c r="AH43" s="21">
        <f t="shared" si="21"/>
        <v>318864106</v>
      </c>
      <c r="AI43" s="21"/>
      <c r="AJ43" s="21"/>
      <c r="AK43" s="21"/>
      <c r="AL43" s="21"/>
      <c r="AM43" s="21"/>
      <c r="AN43" s="21"/>
      <c r="AO43" s="21"/>
      <c r="AP43" s="21">
        <f>+'[1]Acuerdo PLAN INVERSIÓN 2021'!$S$2760</f>
        <v>146825695</v>
      </c>
      <c r="AQ43" s="21"/>
      <c r="AR43" s="21"/>
      <c r="AS43" s="21"/>
      <c r="AT43" s="21"/>
      <c r="AU43" s="21"/>
      <c r="AV43" s="21"/>
      <c r="AW43" s="21"/>
      <c r="AX43" s="21"/>
      <c r="AY43" s="21"/>
      <c r="AZ43" s="21">
        <f>+'[1]Acuerdo PLAN INVERSIÓN 2021'!$X$2760</f>
        <v>172038411</v>
      </c>
      <c r="BA43" s="21"/>
      <c r="BB43" s="21"/>
      <c r="BC43" s="21"/>
      <c r="BD43" s="21"/>
      <c r="BE43" s="21"/>
      <c r="BF43" s="23">
        <f t="shared" si="12"/>
        <v>0.19779451630502787</v>
      </c>
      <c r="BG43" s="21">
        <f t="shared" si="22"/>
        <v>78620220</v>
      </c>
      <c r="BH43" s="21">
        <f t="shared" si="34"/>
        <v>0</v>
      </c>
      <c r="BI43" s="21">
        <f t="shared" si="34"/>
        <v>0</v>
      </c>
      <c r="BJ43" s="21">
        <f t="shared" si="34"/>
        <v>0</v>
      </c>
      <c r="BK43" s="21">
        <f t="shared" si="34"/>
        <v>0</v>
      </c>
      <c r="BL43" s="21">
        <f t="shared" si="34"/>
        <v>0</v>
      </c>
      <c r="BM43" s="21">
        <f t="shared" si="34"/>
        <v>0</v>
      </c>
      <c r="BN43" s="21">
        <f t="shared" si="34"/>
        <v>0</v>
      </c>
      <c r="BO43" s="21">
        <f t="shared" si="34"/>
        <v>4174305</v>
      </c>
      <c r="BP43" s="21">
        <f t="shared" si="34"/>
        <v>0</v>
      </c>
      <c r="BQ43" s="21">
        <f t="shared" si="34"/>
        <v>0</v>
      </c>
      <c r="BR43" s="21">
        <f t="shared" si="34"/>
        <v>0</v>
      </c>
      <c r="BS43" s="21">
        <f t="shared" si="34"/>
        <v>0</v>
      </c>
      <c r="BT43" s="21">
        <f t="shared" si="34"/>
        <v>0</v>
      </c>
      <c r="BU43" s="21">
        <f t="shared" si="34"/>
        <v>0</v>
      </c>
      <c r="BV43" s="21">
        <f t="shared" si="34"/>
        <v>0</v>
      </c>
      <c r="BW43" s="21">
        <f t="shared" si="32"/>
        <v>0</v>
      </c>
      <c r="BX43" s="21">
        <f t="shared" si="24"/>
        <v>0</v>
      </c>
      <c r="BY43" s="21">
        <f t="shared" si="24"/>
        <v>74445915</v>
      </c>
      <c r="BZ43" s="21">
        <f t="shared" si="24"/>
        <v>0</v>
      </c>
      <c r="CA43" s="21">
        <f t="shared" si="24"/>
        <v>0</v>
      </c>
      <c r="CB43" s="21">
        <f t="shared" si="24"/>
        <v>0</v>
      </c>
      <c r="CC43" s="21">
        <f t="shared" si="24"/>
        <v>0</v>
      </c>
      <c r="CD43" s="21">
        <f t="shared" si="24"/>
        <v>0</v>
      </c>
      <c r="CE43" s="23">
        <f t="shared" si="6"/>
        <v>0.80220548369497213</v>
      </c>
      <c r="CF43" s="21">
        <f t="shared" si="25"/>
        <v>318864106</v>
      </c>
      <c r="CG43" s="21"/>
      <c r="CH43" s="21"/>
      <c r="CI43" s="21"/>
      <c r="CJ43" s="21"/>
      <c r="CK43" s="21"/>
      <c r="CL43" s="21"/>
      <c r="CM43" s="21"/>
      <c r="CN43" s="21">
        <f>+'[1]Acuerdo PLAN INVERSIÓN 2021'!$S$2760</f>
        <v>146825695</v>
      </c>
      <c r="CO43" s="21"/>
      <c r="CP43" s="21"/>
      <c r="CQ43" s="21"/>
      <c r="CR43" s="21"/>
      <c r="CS43" s="21"/>
      <c r="CT43" s="21"/>
      <c r="CU43" s="21"/>
      <c r="CV43" s="21"/>
      <c r="CW43" s="21"/>
      <c r="CX43" s="21">
        <f>+'[1]Acuerdo PLAN INVERSIÓN 2021'!$X$2760</f>
        <v>172038411</v>
      </c>
      <c r="CY43" s="21"/>
      <c r="CZ43" s="21"/>
      <c r="DA43" s="21"/>
      <c r="DB43" s="21"/>
      <c r="DC43" s="21"/>
      <c r="DD43" s="23">
        <f t="shared" si="8"/>
        <v>0.19779451630502787</v>
      </c>
      <c r="DE43" s="21">
        <f t="shared" si="26"/>
        <v>78620220</v>
      </c>
      <c r="DF43" s="21">
        <f t="shared" si="35"/>
        <v>0</v>
      </c>
      <c r="DG43" s="21">
        <f t="shared" si="35"/>
        <v>0</v>
      </c>
      <c r="DH43" s="21">
        <f t="shared" si="35"/>
        <v>0</v>
      </c>
      <c r="DI43" s="21">
        <f t="shared" si="35"/>
        <v>0</v>
      </c>
      <c r="DJ43" s="21">
        <f t="shared" si="35"/>
        <v>0</v>
      </c>
      <c r="DK43" s="21">
        <f t="shared" si="35"/>
        <v>0</v>
      </c>
      <c r="DL43" s="21">
        <f t="shared" si="35"/>
        <v>0</v>
      </c>
      <c r="DM43" s="21">
        <f t="shared" si="35"/>
        <v>4174305</v>
      </c>
      <c r="DN43" s="21">
        <f t="shared" si="35"/>
        <v>0</v>
      </c>
      <c r="DO43" s="21">
        <f t="shared" si="35"/>
        <v>0</v>
      </c>
      <c r="DP43" s="21">
        <f t="shared" si="35"/>
        <v>0</v>
      </c>
      <c r="DQ43" s="21">
        <f t="shared" si="35"/>
        <v>0</v>
      </c>
      <c r="DR43" s="21">
        <f t="shared" si="35"/>
        <v>0</v>
      </c>
      <c r="DS43" s="21">
        <f t="shared" si="35"/>
        <v>0</v>
      </c>
      <c r="DT43" s="21">
        <f t="shared" si="35"/>
        <v>0</v>
      </c>
      <c r="DU43" s="21">
        <f t="shared" si="33"/>
        <v>0</v>
      </c>
      <c r="DV43" s="21">
        <f t="shared" si="28"/>
        <v>0</v>
      </c>
      <c r="DW43" s="21">
        <f t="shared" si="28"/>
        <v>74445915</v>
      </c>
      <c r="DX43" s="21">
        <f t="shared" si="28"/>
        <v>0</v>
      </c>
      <c r="DY43" s="21">
        <f t="shared" si="28"/>
        <v>0</v>
      </c>
      <c r="DZ43" s="21">
        <f t="shared" si="28"/>
        <v>0</v>
      </c>
      <c r="EA43" s="21">
        <f t="shared" si="28"/>
        <v>0</v>
      </c>
      <c r="EB43" s="21">
        <f t="shared" si="28"/>
        <v>0</v>
      </c>
      <c r="EE43" s="39">
        <f t="shared" si="29"/>
        <v>397484326</v>
      </c>
      <c r="EF43" s="39">
        <f t="shared" si="30"/>
        <v>318864106</v>
      </c>
    </row>
    <row r="44" spans="1:136" ht="21" hidden="1" customHeight="1" x14ac:dyDescent="0.25">
      <c r="A44" s="167"/>
      <c r="B44" s="172"/>
      <c r="C44" s="17" t="s">
        <v>151</v>
      </c>
      <c r="D44" s="29" t="s">
        <v>152</v>
      </c>
      <c r="E44" s="19">
        <v>410</v>
      </c>
      <c r="F44" s="31" t="s">
        <v>153</v>
      </c>
      <c r="G44" s="21">
        <f t="shared" si="20"/>
        <v>700996742</v>
      </c>
      <c r="H44" s="22">
        <v>800000000</v>
      </c>
      <c r="I44" s="22">
        <f t="shared" si="31"/>
        <v>99003258</v>
      </c>
      <c r="J44" s="21"/>
      <c r="K44" s="21">
        <v>100000000</v>
      </c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>
        <v>110000000</v>
      </c>
      <c r="AB44" s="21"/>
      <c r="AC44" s="21"/>
      <c r="AD44" s="21">
        <f>23477088+125613658+7274332+7900227+86506451+49870081+143707904+31647001</f>
        <v>475996742</v>
      </c>
      <c r="AE44" s="21"/>
      <c r="AF44" s="21">
        <f>15000000+10000000-10000000</f>
        <v>15000000</v>
      </c>
      <c r="AG44" s="23">
        <f t="shared" si="1"/>
        <v>0.70130026367511988</v>
      </c>
      <c r="AH44" s="21">
        <f t="shared" si="21"/>
        <v>491609200</v>
      </c>
      <c r="AI44" s="21"/>
      <c r="AJ44" s="21">
        <f>+'[1]Acuerdo PLAN INVERSIÓN 2021'!$J$2835</f>
        <v>79685908</v>
      </c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1">
        <f>+'[1]Acuerdo PLAN INVERSIÓN 2021'!$X$2835</f>
        <v>65836523</v>
      </c>
      <c r="BA44" s="21"/>
      <c r="BB44" s="21"/>
      <c r="BC44" s="21">
        <f>+'[1]Acuerdo PLAN INVERSIÓN 2021'!$AC$2835</f>
        <v>331087169</v>
      </c>
      <c r="BD44" s="21"/>
      <c r="BE44" s="21">
        <f>+'[1]Acuerdo PLAN INVERSIÓN 2021'!$AF$2835</f>
        <v>14999600</v>
      </c>
      <c r="BF44" s="23">
        <f t="shared" si="12"/>
        <v>0.29869973632488012</v>
      </c>
      <c r="BG44" s="21">
        <f t="shared" si="22"/>
        <v>209387542</v>
      </c>
      <c r="BH44" s="21">
        <f t="shared" si="34"/>
        <v>0</v>
      </c>
      <c r="BI44" s="21">
        <f t="shared" si="34"/>
        <v>20314092</v>
      </c>
      <c r="BJ44" s="21">
        <f t="shared" si="34"/>
        <v>0</v>
      </c>
      <c r="BK44" s="21">
        <f t="shared" si="34"/>
        <v>0</v>
      </c>
      <c r="BL44" s="21">
        <f t="shared" si="34"/>
        <v>0</v>
      </c>
      <c r="BM44" s="21">
        <f t="shared" si="34"/>
        <v>0</v>
      </c>
      <c r="BN44" s="21">
        <f t="shared" si="34"/>
        <v>0</v>
      </c>
      <c r="BO44" s="21">
        <f t="shared" si="34"/>
        <v>0</v>
      </c>
      <c r="BP44" s="21">
        <f t="shared" si="34"/>
        <v>0</v>
      </c>
      <c r="BQ44" s="21">
        <f t="shared" si="34"/>
        <v>0</v>
      </c>
      <c r="BR44" s="21">
        <f t="shared" si="34"/>
        <v>0</v>
      </c>
      <c r="BS44" s="21">
        <f t="shared" si="34"/>
        <v>0</v>
      </c>
      <c r="BT44" s="21">
        <f t="shared" si="34"/>
        <v>0</v>
      </c>
      <c r="BU44" s="21">
        <f t="shared" si="34"/>
        <v>0</v>
      </c>
      <c r="BV44" s="21">
        <f t="shared" si="34"/>
        <v>0</v>
      </c>
      <c r="BW44" s="21">
        <f t="shared" si="32"/>
        <v>0</v>
      </c>
      <c r="BX44" s="21">
        <f t="shared" si="24"/>
        <v>0</v>
      </c>
      <c r="BY44" s="21">
        <f t="shared" si="24"/>
        <v>44163477</v>
      </c>
      <c r="BZ44" s="21">
        <f t="shared" si="24"/>
        <v>0</v>
      </c>
      <c r="CA44" s="21">
        <f t="shared" si="24"/>
        <v>0</v>
      </c>
      <c r="CB44" s="21">
        <f t="shared" si="24"/>
        <v>144909573</v>
      </c>
      <c r="CC44" s="21">
        <f t="shared" si="24"/>
        <v>0</v>
      </c>
      <c r="CD44" s="21">
        <f t="shared" si="24"/>
        <v>400</v>
      </c>
      <c r="CE44" s="23">
        <f t="shared" si="6"/>
        <v>0.70130026367511988</v>
      </c>
      <c r="CF44" s="21">
        <f t="shared" si="25"/>
        <v>491609200</v>
      </c>
      <c r="CG44" s="21"/>
      <c r="CH44" s="21">
        <f>+'[1]Acuerdo PLAN INVERSIÓN 2021'!$J$2835</f>
        <v>79685908</v>
      </c>
      <c r="CI44" s="21"/>
      <c r="CJ44" s="21"/>
      <c r="CK44" s="21"/>
      <c r="CL44" s="21"/>
      <c r="CM44" s="21"/>
      <c r="CN44" s="21"/>
      <c r="CO44" s="21"/>
      <c r="CP44" s="21"/>
      <c r="CQ44" s="21"/>
      <c r="CR44" s="21"/>
      <c r="CS44" s="21"/>
      <c r="CT44" s="21"/>
      <c r="CU44" s="21"/>
      <c r="CV44" s="21"/>
      <c r="CW44" s="21"/>
      <c r="CX44" s="21">
        <f>+'[1]Acuerdo PLAN INVERSIÓN 2021'!$X$2835</f>
        <v>65836523</v>
      </c>
      <c r="CY44" s="21"/>
      <c r="CZ44" s="21"/>
      <c r="DA44" s="21">
        <f>+'[1]Acuerdo PLAN INVERSIÓN 2021'!$AC$2835</f>
        <v>331087169</v>
      </c>
      <c r="DB44" s="21"/>
      <c r="DC44" s="21">
        <f>+'[1]Acuerdo PLAN INVERSIÓN 2021'!$AF$2835</f>
        <v>14999600</v>
      </c>
      <c r="DD44" s="23">
        <f t="shared" si="8"/>
        <v>0.29869973632488012</v>
      </c>
      <c r="DE44" s="21">
        <f t="shared" si="26"/>
        <v>209387542</v>
      </c>
      <c r="DF44" s="21">
        <f t="shared" si="35"/>
        <v>0</v>
      </c>
      <c r="DG44" s="21">
        <f t="shared" si="35"/>
        <v>20314092</v>
      </c>
      <c r="DH44" s="21">
        <f t="shared" si="35"/>
        <v>0</v>
      </c>
      <c r="DI44" s="21">
        <f t="shared" si="35"/>
        <v>0</v>
      </c>
      <c r="DJ44" s="21">
        <f t="shared" si="35"/>
        <v>0</v>
      </c>
      <c r="DK44" s="21">
        <f t="shared" si="35"/>
        <v>0</v>
      </c>
      <c r="DL44" s="21">
        <f t="shared" si="35"/>
        <v>0</v>
      </c>
      <c r="DM44" s="21">
        <f t="shared" si="35"/>
        <v>0</v>
      </c>
      <c r="DN44" s="21">
        <f t="shared" si="35"/>
        <v>0</v>
      </c>
      <c r="DO44" s="21">
        <f t="shared" si="35"/>
        <v>0</v>
      </c>
      <c r="DP44" s="21">
        <f t="shared" si="35"/>
        <v>0</v>
      </c>
      <c r="DQ44" s="21">
        <f t="shared" si="35"/>
        <v>0</v>
      </c>
      <c r="DR44" s="21">
        <f t="shared" si="35"/>
        <v>0</v>
      </c>
      <c r="DS44" s="21">
        <f t="shared" si="35"/>
        <v>0</v>
      </c>
      <c r="DT44" s="21">
        <f t="shared" si="35"/>
        <v>0</v>
      </c>
      <c r="DU44" s="21">
        <f t="shared" si="33"/>
        <v>0</v>
      </c>
      <c r="DV44" s="21">
        <f t="shared" si="28"/>
        <v>0</v>
      </c>
      <c r="DW44" s="21">
        <f t="shared" si="28"/>
        <v>44163477</v>
      </c>
      <c r="DX44" s="21">
        <f t="shared" si="28"/>
        <v>0</v>
      </c>
      <c r="DY44" s="21">
        <f t="shared" si="28"/>
        <v>0</v>
      </c>
      <c r="DZ44" s="21">
        <f t="shared" si="28"/>
        <v>144909573</v>
      </c>
      <c r="EA44" s="21">
        <f t="shared" si="28"/>
        <v>0</v>
      </c>
      <c r="EB44" s="21">
        <f t="shared" si="28"/>
        <v>400</v>
      </c>
      <c r="EE44" s="39">
        <f t="shared" si="29"/>
        <v>700996742</v>
      </c>
      <c r="EF44" s="39">
        <f t="shared" si="30"/>
        <v>491609200</v>
      </c>
    </row>
    <row r="45" spans="1:136" ht="20.25" hidden="1" customHeight="1" x14ac:dyDescent="0.25">
      <c r="A45" s="167"/>
      <c r="B45" s="171" t="s">
        <v>154</v>
      </c>
      <c r="C45" s="17" t="s">
        <v>155</v>
      </c>
      <c r="D45" s="29" t="s">
        <v>156</v>
      </c>
      <c r="E45" s="19">
        <v>410</v>
      </c>
      <c r="F45" s="31" t="s">
        <v>105</v>
      </c>
      <c r="G45" s="21">
        <f t="shared" si="20"/>
        <v>30000000</v>
      </c>
      <c r="H45" s="22">
        <v>56000000</v>
      </c>
      <c r="I45" s="22">
        <f t="shared" si="31"/>
        <v>26000000</v>
      </c>
      <c r="J45" s="21"/>
      <c r="K45" s="21">
        <v>30000000</v>
      </c>
      <c r="L45" s="21"/>
      <c r="M45" s="21"/>
      <c r="N45" s="21"/>
      <c r="O45" s="21"/>
      <c r="P45" s="21"/>
      <c r="Q45" s="21">
        <f>25000000-25000000</f>
        <v>0</v>
      </c>
      <c r="R45" s="21"/>
      <c r="S45" s="21"/>
      <c r="T45" s="21"/>
      <c r="U45" s="21">
        <f>20000000-20000000</f>
        <v>0</v>
      </c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3">
        <f t="shared" si="1"/>
        <v>0.96874470000000001</v>
      </c>
      <c r="AH45" s="21">
        <f t="shared" si="21"/>
        <v>29062341</v>
      </c>
      <c r="AI45" s="21"/>
      <c r="AJ45" s="21">
        <f>+'[1]Acuerdo PLAN INVERSIÓN 2021'!$J$3069</f>
        <v>29062341</v>
      </c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  <c r="AX45" s="21"/>
      <c r="AY45" s="21"/>
      <c r="AZ45" s="21"/>
      <c r="BA45" s="21"/>
      <c r="BB45" s="21"/>
      <c r="BC45" s="21"/>
      <c r="BD45" s="21"/>
      <c r="BE45" s="21"/>
      <c r="BF45" s="23">
        <f t="shared" si="12"/>
        <v>3.1255299999999986E-2</v>
      </c>
      <c r="BG45" s="21">
        <f t="shared" si="22"/>
        <v>937659</v>
      </c>
      <c r="BH45" s="21">
        <f t="shared" si="34"/>
        <v>0</v>
      </c>
      <c r="BI45" s="21">
        <f t="shared" si="34"/>
        <v>937659</v>
      </c>
      <c r="BJ45" s="21">
        <f t="shared" si="34"/>
        <v>0</v>
      </c>
      <c r="BK45" s="21">
        <f t="shared" si="34"/>
        <v>0</v>
      </c>
      <c r="BL45" s="21">
        <f t="shared" si="34"/>
        <v>0</v>
      </c>
      <c r="BM45" s="21">
        <f t="shared" si="34"/>
        <v>0</v>
      </c>
      <c r="BN45" s="21">
        <f t="shared" si="34"/>
        <v>0</v>
      </c>
      <c r="BO45" s="21">
        <f t="shared" si="34"/>
        <v>0</v>
      </c>
      <c r="BP45" s="21">
        <f t="shared" si="34"/>
        <v>0</v>
      </c>
      <c r="BQ45" s="21">
        <f t="shared" si="34"/>
        <v>0</v>
      </c>
      <c r="BR45" s="21">
        <f t="shared" si="34"/>
        <v>0</v>
      </c>
      <c r="BS45" s="21">
        <f t="shared" si="34"/>
        <v>0</v>
      </c>
      <c r="BT45" s="21">
        <f t="shared" si="34"/>
        <v>0</v>
      </c>
      <c r="BU45" s="21">
        <f t="shared" si="34"/>
        <v>0</v>
      </c>
      <c r="BV45" s="21">
        <f t="shared" si="34"/>
        <v>0</v>
      </c>
      <c r="BW45" s="21">
        <f t="shared" si="32"/>
        <v>0</v>
      </c>
      <c r="BX45" s="21">
        <f t="shared" si="24"/>
        <v>0</v>
      </c>
      <c r="BY45" s="21">
        <f t="shared" si="24"/>
        <v>0</v>
      </c>
      <c r="BZ45" s="21">
        <f t="shared" si="24"/>
        <v>0</v>
      </c>
      <c r="CA45" s="21">
        <f t="shared" si="24"/>
        <v>0</v>
      </c>
      <c r="CB45" s="21">
        <f t="shared" si="24"/>
        <v>0</v>
      </c>
      <c r="CC45" s="21">
        <f t="shared" si="24"/>
        <v>0</v>
      </c>
      <c r="CD45" s="21">
        <f t="shared" si="24"/>
        <v>0</v>
      </c>
      <c r="CE45" s="23">
        <f t="shared" si="6"/>
        <v>0.96874470000000001</v>
      </c>
      <c r="CF45" s="21">
        <f t="shared" si="25"/>
        <v>29062341</v>
      </c>
      <c r="CG45" s="21"/>
      <c r="CH45" s="21">
        <f>+'[8]Acuerdo PLAN INVERSIÓN 2021'!$H$2367+'[5]Acuerdo PLAN INVERSIÓN 2021'!$H$2898</f>
        <v>29062341</v>
      </c>
      <c r="CI45" s="21"/>
      <c r="CJ45" s="21"/>
      <c r="CK45" s="21"/>
      <c r="CL45" s="21"/>
      <c r="CM45" s="21"/>
      <c r="CN45" s="21"/>
      <c r="CO45" s="21"/>
      <c r="CP45" s="21"/>
      <c r="CQ45" s="21"/>
      <c r="CR45" s="21"/>
      <c r="CS45" s="21"/>
      <c r="CT45" s="21"/>
      <c r="CU45" s="21"/>
      <c r="CV45" s="21"/>
      <c r="CW45" s="21"/>
      <c r="CX45" s="21"/>
      <c r="CY45" s="21"/>
      <c r="CZ45" s="21"/>
      <c r="DA45" s="21"/>
      <c r="DB45" s="21"/>
      <c r="DC45" s="21"/>
      <c r="DD45" s="23">
        <f t="shared" si="8"/>
        <v>3.1255299999999986E-2</v>
      </c>
      <c r="DE45" s="21">
        <f t="shared" si="26"/>
        <v>937659</v>
      </c>
      <c r="DF45" s="21">
        <f t="shared" si="35"/>
        <v>0</v>
      </c>
      <c r="DG45" s="21">
        <f t="shared" si="35"/>
        <v>937659</v>
      </c>
      <c r="DH45" s="21">
        <f t="shared" si="35"/>
        <v>0</v>
      </c>
      <c r="DI45" s="21">
        <f t="shared" si="35"/>
        <v>0</v>
      </c>
      <c r="DJ45" s="21">
        <f t="shared" si="35"/>
        <v>0</v>
      </c>
      <c r="DK45" s="21">
        <f t="shared" si="35"/>
        <v>0</v>
      </c>
      <c r="DL45" s="21">
        <f t="shared" si="35"/>
        <v>0</v>
      </c>
      <c r="DM45" s="21">
        <f t="shared" si="35"/>
        <v>0</v>
      </c>
      <c r="DN45" s="21">
        <f t="shared" si="35"/>
        <v>0</v>
      </c>
      <c r="DO45" s="21">
        <f t="shared" si="35"/>
        <v>0</v>
      </c>
      <c r="DP45" s="21">
        <f t="shared" si="35"/>
        <v>0</v>
      </c>
      <c r="DQ45" s="21">
        <f t="shared" si="35"/>
        <v>0</v>
      </c>
      <c r="DR45" s="21">
        <f t="shared" si="35"/>
        <v>0</v>
      </c>
      <c r="DS45" s="21">
        <f t="shared" si="35"/>
        <v>0</v>
      </c>
      <c r="DT45" s="21">
        <f t="shared" si="35"/>
        <v>0</v>
      </c>
      <c r="DU45" s="21">
        <f t="shared" si="33"/>
        <v>0</v>
      </c>
      <c r="DV45" s="21">
        <f t="shared" si="28"/>
        <v>0</v>
      </c>
      <c r="DW45" s="21">
        <f t="shared" si="28"/>
        <v>0</v>
      </c>
      <c r="DX45" s="21">
        <f t="shared" si="28"/>
        <v>0</v>
      </c>
      <c r="DY45" s="21">
        <f t="shared" si="28"/>
        <v>0</v>
      </c>
      <c r="DZ45" s="21">
        <f t="shared" si="28"/>
        <v>0</v>
      </c>
      <c r="EA45" s="21">
        <f t="shared" si="28"/>
        <v>0</v>
      </c>
      <c r="EB45" s="21">
        <f t="shared" si="28"/>
        <v>0</v>
      </c>
      <c r="EE45" s="39">
        <f t="shared" si="29"/>
        <v>30000000</v>
      </c>
      <c r="EF45" s="39">
        <f t="shared" si="30"/>
        <v>29062341</v>
      </c>
    </row>
    <row r="46" spans="1:136" ht="21.75" hidden="1" customHeight="1" x14ac:dyDescent="0.25">
      <c r="A46" s="167"/>
      <c r="B46" s="173"/>
      <c r="C46" s="17" t="s">
        <v>157</v>
      </c>
      <c r="D46" s="29" t="s">
        <v>158</v>
      </c>
      <c r="E46" s="19">
        <v>410</v>
      </c>
      <c r="F46" s="31" t="s">
        <v>105</v>
      </c>
      <c r="G46" s="21">
        <f t="shared" si="20"/>
        <v>30000000</v>
      </c>
      <c r="H46" s="22">
        <v>50000000</v>
      </c>
      <c r="I46" s="22">
        <f t="shared" si="31"/>
        <v>20000000</v>
      </c>
      <c r="J46" s="21"/>
      <c r="K46" s="21">
        <f>20000000-20000000</f>
        <v>0</v>
      </c>
      <c r="L46" s="21"/>
      <c r="M46" s="21"/>
      <c r="N46" s="21"/>
      <c r="O46" s="21"/>
      <c r="P46" s="21"/>
      <c r="Q46" s="21">
        <v>30000000</v>
      </c>
      <c r="R46" s="21"/>
      <c r="S46" s="21"/>
      <c r="T46" s="21"/>
      <c r="U46" s="21">
        <f>38135548-38135548</f>
        <v>0</v>
      </c>
      <c r="V46" s="21"/>
      <c r="W46" s="21"/>
      <c r="X46" s="21"/>
      <c r="Y46" s="21"/>
      <c r="Z46" s="21"/>
      <c r="AA46" s="21"/>
      <c r="AB46" s="47"/>
      <c r="AC46" s="21"/>
      <c r="AD46" s="21"/>
      <c r="AE46" s="21"/>
      <c r="AF46" s="21"/>
      <c r="AG46" s="23">
        <f t="shared" si="1"/>
        <v>0.10143566666666666</v>
      </c>
      <c r="AH46" s="21">
        <f t="shared" si="21"/>
        <v>3043070</v>
      </c>
      <c r="AI46" s="21"/>
      <c r="AJ46" s="21"/>
      <c r="AK46" s="21"/>
      <c r="AL46" s="21"/>
      <c r="AM46" s="21"/>
      <c r="AN46" s="21"/>
      <c r="AO46" s="21"/>
      <c r="AP46" s="21">
        <f>+'[1]Acuerdo PLAN INVERSIÓN 2021'!$S$3090</f>
        <v>3043070</v>
      </c>
      <c r="AQ46" s="21"/>
      <c r="AR46" s="21"/>
      <c r="AS46" s="21"/>
      <c r="AT46" s="21"/>
      <c r="AU46" s="21"/>
      <c r="AV46" s="21"/>
      <c r="AW46" s="21"/>
      <c r="AX46" s="21"/>
      <c r="AY46" s="21"/>
      <c r="AZ46" s="21"/>
      <c r="BA46" s="21"/>
      <c r="BB46" s="21"/>
      <c r="BC46" s="21"/>
      <c r="BD46" s="21"/>
      <c r="BE46" s="21"/>
      <c r="BF46" s="23">
        <f t="shared" si="12"/>
        <v>0.8985643333333333</v>
      </c>
      <c r="BG46" s="21">
        <f t="shared" si="22"/>
        <v>26956930</v>
      </c>
      <c r="BH46" s="21">
        <f t="shared" si="34"/>
        <v>0</v>
      </c>
      <c r="BI46" s="21">
        <f t="shared" si="34"/>
        <v>0</v>
      </c>
      <c r="BJ46" s="21">
        <f t="shared" si="34"/>
        <v>0</v>
      </c>
      <c r="BK46" s="21">
        <f t="shared" si="34"/>
        <v>0</v>
      </c>
      <c r="BL46" s="21">
        <f t="shared" si="34"/>
        <v>0</v>
      </c>
      <c r="BM46" s="21">
        <f t="shared" si="34"/>
        <v>0</v>
      </c>
      <c r="BN46" s="21">
        <f t="shared" si="34"/>
        <v>0</v>
      </c>
      <c r="BO46" s="21">
        <f t="shared" si="34"/>
        <v>26956930</v>
      </c>
      <c r="BP46" s="21">
        <f t="shared" si="34"/>
        <v>0</v>
      </c>
      <c r="BQ46" s="21">
        <f t="shared" si="34"/>
        <v>0</v>
      </c>
      <c r="BR46" s="21">
        <f t="shared" si="34"/>
        <v>0</v>
      </c>
      <c r="BS46" s="21">
        <f t="shared" si="34"/>
        <v>0</v>
      </c>
      <c r="BT46" s="21">
        <f t="shared" si="34"/>
        <v>0</v>
      </c>
      <c r="BU46" s="21">
        <f t="shared" si="34"/>
        <v>0</v>
      </c>
      <c r="BV46" s="21">
        <f t="shared" si="34"/>
        <v>0</v>
      </c>
      <c r="BW46" s="21">
        <f t="shared" si="32"/>
        <v>0</v>
      </c>
      <c r="BX46" s="21">
        <f t="shared" si="24"/>
        <v>0</v>
      </c>
      <c r="BY46" s="21">
        <f t="shared" si="24"/>
        <v>0</v>
      </c>
      <c r="BZ46" s="21">
        <f t="shared" si="24"/>
        <v>0</v>
      </c>
      <c r="CA46" s="21">
        <f t="shared" si="24"/>
        <v>0</v>
      </c>
      <c r="CB46" s="21">
        <f t="shared" si="24"/>
        <v>0</v>
      </c>
      <c r="CC46" s="21">
        <f t="shared" si="24"/>
        <v>0</v>
      </c>
      <c r="CD46" s="21">
        <f t="shared" si="24"/>
        <v>0</v>
      </c>
      <c r="CE46" s="23">
        <f t="shared" si="6"/>
        <v>0.10143566666666666</v>
      </c>
      <c r="CF46" s="21">
        <f t="shared" si="25"/>
        <v>3043070</v>
      </c>
      <c r="CG46" s="21"/>
      <c r="CH46" s="21"/>
      <c r="CI46" s="21"/>
      <c r="CJ46" s="21"/>
      <c r="CK46" s="21"/>
      <c r="CL46" s="21"/>
      <c r="CM46" s="21"/>
      <c r="CN46" s="21">
        <f>+'[1]Acuerdo PLAN INVERSIÓN 2021'!$S$3090</f>
        <v>3043070</v>
      </c>
      <c r="CO46" s="21"/>
      <c r="CP46" s="21"/>
      <c r="CQ46" s="21"/>
      <c r="CR46" s="21"/>
      <c r="CS46" s="21"/>
      <c r="CT46" s="21"/>
      <c r="CU46" s="21"/>
      <c r="CV46" s="21"/>
      <c r="CW46" s="21"/>
      <c r="CX46" s="21"/>
      <c r="CY46" s="21"/>
      <c r="CZ46" s="21"/>
      <c r="DA46" s="21"/>
      <c r="DB46" s="21"/>
      <c r="DC46" s="21"/>
      <c r="DD46" s="23">
        <f t="shared" si="8"/>
        <v>0.8985643333333333</v>
      </c>
      <c r="DE46" s="21">
        <f t="shared" si="26"/>
        <v>26956930</v>
      </c>
      <c r="DF46" s="21">
        <f t="shared" si="35"/>
        <v>0</v>
      </c>
      <c r="DG46" s="21">
        <f t="shared" si="35"/>
        <v>0</v>
      </c>
      <c r="DH46" s="21">
        <f t="shared" si="35"/>
        <v>0</v>
      </c>
      <c r="DI46" s="21">
        <f t="shared" si="35"/>
        <v>0</v>
      </c>
      <c r="DJ46" s="21">
        <f t="shared" si="35"/>
        <v>0</v>
      </c>
      <c r="DK46" s="21">
        <f t="shared" si="35"/>
        <v>0</v>
      </c>
      <c r="DL46" s="21">
        <f t="shared" si="35"/>
        <v>0</v>
      </c>
      <c r="DM46" s="21">
        <f t="shared" si="35"/>
        <v>26956930</v>
      </c>
      <c r="DN46" s="21">
        <f t="shared" si="35"/>
        <v>0</v>
      </c>
      <c r="DO46" s="21">
        <f t="shared" si="35"/>
        <v>0</v>
      </c>
      <c r="DP46" s="21">
        <f t="shared" si="35"/>
        <v>0</v>
      </c>
      <c r="DQ46" s="21">
        <f t="shared" si="35"/>
        <v>0</v>
      </c>
      <c r="DR46" s="21">
        <f t="shared" si="35"/>
        <v>0</v>
      </c>
      <c r="DS46" s="21">
        <f t="shared" si="35"/>
        <v>0</v>
      </c>
      <c r="DT46" s="21">
        <f t="shared" si="35"/>
        <v>0</v>
      </c>
      <c r="DU46" s="21">
        <f t="shared" si="33"/>
        <v>0</v>
      </c>
      <c r="DV46" s="21">
        <f t="shared" si="28"/>
        <v>0</v>
      </c>
      <c r="DW46" s="21">
        <f t="shared" si="28"/>
        <v>0</v>
      </c>
      <c r="DX46" s="21">
        <f t="shared" si="28"/>
        <v>0</v>
      </c>
      <c r="DY46" s="21">
        <f t="shared" si="28"/>
        <v>0</v>
      </c>
      <c r="DZ46" s="21">
        <f t="shared" si="28"/>
        <v>0</v>
      </c>
      <c r="EA46" s="21">
        <f t="shared" si="28"/>
        <v>0</v>
      </c>
      <c r="EB46" s="21">
        <f t="shared" si="28"/>
        <v>0</v>
      </c>
      <c r="EE46" s="39">
        <f t="shared" si="29"/>
        <v>30000000</v>
      </c>
      <c r="EF46" s="39">
        <f t="shared" si="30"/>
        <v>3043070</v>
      </c>
    </row>
    <row r="47" spans="1:136" ht="46.95" hidden="1" customHeight="1" x14ac:dyDescent="0.25">
      <c r="A47" s="167"/>
      <c r="B47" s="32" t="s">
        <v>159</v>
      </c>
      <c r="C47" s="17" t="s">
        <v>160</v>
      </c>
      <c r="D47" s="18" t="s">
        <v>161</v>
      </c>
      <c r="E47" s="19">
        <v>410</v>
      </c>
      <c r="F47" s="31" t="s">
        <v>105</v>
      </c>
      <c r="G47" s="21">
        <f t="shared" si="20"/>
        <v>2983654075</v>
      </c>
      <c r="H47" s="22">
        <v>2200000000</v>
      </c>
      <c r="I47" s="22">
        <f t="shared" si="31"/>
        <v>-783654075</v>
      </c>
      <c r="J47" s="21"/>
      <c r="K47" s="21">
        <v>7989917</v>
      </c>
      <c r="L47" s="21"/>
      <c r="M47" s="21"/>
      <c r="N47" s="21"/>
      <c r="O47" s="21"/>
      <c r="P47" s="21"/>
      <c r="Q47" s="21">
        <v>25000000</v>
      </c>
      <c r="R47" s="21"/>
      <c r="S47" s="21"/>
      <c r="T47" s="21"/>
      <c r="U47" s="21"/>
      <c r="V47" s="21"/>
      <c r="W47" s="21"/>
      <c r="X47" s="21"/>
      <c r="Y47" s="21">
        <f>3500000000+684779075-1250000000-74625000</f>
        <v>2860154075</v>
      </c>
      <c r="Z47" s="21"/>
      <c r="AA47" s="21">
        <v>73500000</v>
      </c>
      <c r="AB47" s="21">
        <v>17010083</v>
      </c>
      <c r="AC47" s="21"/>
      <c r="AD47" s="21"/>
      <c r="AE47" s="21"/>
      <c r="AF47" s="21"/>
      <c r="AG47" s="23">
        <f t="shared" si="1"/>
        <v>0.72132346072994402</v>
      </c>
      <c r="AH47" s="21">
        <f t="shared" si="21"/>
        <v>2152179683</v>
      </c>
      <c r="AI47" s="21"/>
      <c r="AJ47" s="21">
        <f>+'[1]Acuerdo PLAN INVERSIÓN 2021'!$J$3104</f>
        <v>2040807</v>
      </c>
      <c r="AK47" s="21"/>
      <c r="AL47" s="21"/>
      <c r="AM47" s="21"/>
      <c r="AN47" s="21"/>
      <c r="AO47" s="21"/>
      <c r="AP47" s="21">
        <f>+'[1]Acuerdo PLAN INVERSIÓN 2021'!$S$3104</f>
        <v>17381366</v>
      </c>
      <c r="AQ47" s="21"/>
      <c r="AR47" s="21"/>
      <c r="AS47" s="21"/>
      <c r="AT47" s="21"/>
      <c r="AU47" s="21"/>
      <c r="AV47" s="21"/>
      <c r="AW47" s="21"/>
      <c r="AX47" s="21">
        <f>+'[1]Acuerdo PLAN INVERSIÓN 2021'!$W$3104</f>
        <v>2066607734</v>
      </c>
      <c r="AY47" s="21"/>
      <c r="AZ47" s="21">
        <f>+'[1]Acuerdo PLAN INVERSIÓN 2021'!$X$3104</f>
        <v>50843110</v>
      </c>
      <c r="BA47" s="21">
        <f>+'[1]Acuerdo PLAN INVERSIÓN 2021'!$Y$3104</f>
        <v>15306666</v>
      </c>
      <c r="BB47" s="21"/>
      <c r="BC47" s="21"/>
      <c r="BD47" s="21"/>
      <c r="BE47" s="21"/>
      <c r="BF47" s="23">
        <f t="shared" si="12"/>
        <v>0.27867653927005598</v>
      </c>
      <c r="BG47" s="21">
        <f t="shared" si="22"/>
        <v>831474392</v>
      </c>
      <c r="BH47" s="21">
        <f t="shared" si="34"/>
        <v>0</v>
      </c>
      <c r="BI47" s="21">
        <f t="shared" si="34"/>
        <v>5949110</v>
      </c>
      <c r="BJ47" s="21">
        <f t="shared" si="34"/>
        <v>0</v>
      </c>
      <c r="BK47" s="21">
        <f t="shared" si="34"/>
        <v>0</v>
      </c>
      <c r="BL47" s="21">
        <f t="shared" si="34"/>
        <v>0</v>
      </c>
      <c r="BM47" s="21">
        <f t="shared" si="34"/>
        <v>0</v>
      </c>
      <c r="BN47" s="21">
        <f t="shared" si="34"/>
        <v>0</v>
      </c>
      <c r="BO47" s="21">
        <f t="shared" si="34"/>
        <v>7618634</v>
      </c>
      <c r="BP47" s="21">
        <f t="shared" si="34"/>
        <v>0</v>
      </c>
      <c r="BQ47" s="21">
        <f t="shared" si="34"/>
        <v>0</v>
      </c>
      <c r="BR47" s="21">
        <f t="shared" si="34"/>
        <v>0</v>
      </c>
      <c r="BS47" s="21">
        <f t="shared" si="34"/>
        <v>0</v>
      </c>
      <c r="BT47" s="21">
        <f t="shared" si="34"/>
        <v>0</v>
      </c>
      <c r="BU47" s="21">
        <f t="shared" si="34"/>
        <v>0</v>
      </c>
      <c r="BV47" s="21">
        <f t="shared" si="34"/>
        <v>0</v>
      </c>
      <c r="BW47" s="21">
        <f t="shared" si="32"/>
        <v>793546341</v>
      </c>
      <c r="BX47" s="21">
        <f t="shared" si="24"/>
        <v>0</v>
      </c>
      <c r="BY47" s="21">
        <f t="shared" si="24"/>
        <v>22656890</v>
      </c>
      <c r="BZ47" s="21">
        <f t="shared" si="24"/>
        <v>1703417</v>
      </c>
      <c r="CA47" s="21">
        <f t="shared" si="24"/>
        <v>0</v>
      </c>
      <c r="CB47" s="21">
        <f t="shared" si="24"/>
        <v>0</v>
      </c>
      <c r="CC47" s="21">
        <f t="shared" si="24"/>
        <v>0</v>
      </c>
      <c r="CD47" s="21">
        <f t="shared" si="24"/>
        <v>0</v>
      </c>
      <c r="CE47" s="23">
        <f t="shared" si="6"/>
        <v>0.72132346072994402</v>
      </c>
      <c r="CF47" s="21">
        <f t="shared" si="25"/>
        <v>2152179683</v>
      </c>
      <c r="CG47" s="21"/>
      <c r="CH47" s="21">
        <f>+'[1]Acuerdo PLAN INVERSIÓN 2021'!$J$3104</f>
        <v>2040807</v>
      </c>
      <c r="CI47" s="21"/>
      <c r="CJ47" s="21"/>
      <c r="CK47" s="21"/>
      <c r="CL47" s="21"/>
      <c r="CM47" s="21"/>
      <c r="CN47" s="21">
        <f>+'[1]Acuerdo PLAN INVERSIÓN 2021'!$S$3104</f>
        <v>17381366</v>
      </c>
      <c r="CO47" s="21"/>
      <c r="CP47" s="21"/>
      <c r="CQ47" s="21"/>
      <c r="CR47" s="21"/>
      <c r="CS47" s="21"/>
      <c r="CT47" s="21"/>
      <c r="CU47" s="21"/>
      <c r="CV47" s="21">
        <f>+'[1]Acuerdo PLAN INVERSIÓN 2021'!$W$3104</f>
        <v>2066607734</v>
      </c>
      <c r="CW47" s="21"/>
      <c r="CX47" s="21">
        <f>+'[1]Acuerdo PLAN INVERSIÓN 2021'!$X$3104</f>
        <v>50843110</v>
      </c>
      <c r="CY47" s="21">
        <f>+'[1]Acuerdo PLAN INVERSIÓN 2021'!$Y$3104</f>
        <v>15306666</v>
      </c>
      <c r="CZ47" s="21"/>
      <c r="DA47" s="21"/>
      <c r="DB47" s="21"/>
      <c r="DC47" s="21"/>
      <c r="DD47" s="23">
        <f t="shared" si="8"/>
        <v>0.27867653927005598</v>
      </c>
      <c r="DE47" s="21">
        <f t="shared" si="26"/>
        <v>831474392</v>
      </c>
      <c r="DF47" s="21">
        <f t="shared" si="35"/>
        <v>0</v>
      </c>
      <c r="DG47" s="21">
        <f t="shared" si="35"/>
        <v>5949110</v>
      </c>
      <c r="DH47" s="21">
        <f t="shared" si="35"/>
        <v>0</v>
      </c>
      <c r="DI47" s="21">
        <f t="shared" si="35"/>
        <v>0</v>
      </c>
      <c r="DJ47" s="21">
        <f t="shared" si="35"/>
        <v>0</v>
      </c>
      <c r="DK47" s="21">
        <f t="shared" si="35"/>
        <v>0</v>
      </c>
      <c r="DL47" s="21">
        <f t="shared" si="35"/>
        <v>0</v>
      </c>
      <c r="DM47" s="21">
        <f t="shared" si="35"/>
        <v>7618634</v>
      </c>
      <c r="DN47" s="21">
        <f t="shared" si="35"/>
        <v>0</v>
      </c>
      <c r="DO47" s="21">
        <f t="shared" si="35"/>
        <v>0</v>
      </c>
      <c r="DP47" s="21">
        <f t="shared" si="35"/>
        <v>0</v>
      </c>
      <c r="DQ47" s="21">
        <f t="shared" si="35"/>
        <v>0</v>
      </c>
      <c r="DR47" s="21">
        <f t="shared" si="35"/>
        <v>0</v>
      </c>
      <c r="DS47" s="21">
        <f t="shared" si="35"/>
        <v>0</v>
      </c>
      <c r="DT47" s="21">
        <f t="shared" si="35"/>
        <v>0</v>
      </c>
      <c r="DU47" s="21">
        <f t="shared" si="33"/>
        <v>793546341</v>
      </c>
      <c r="DV47" s="21">
        <f t="shared" si="28"/>
        <v>0</v>
      </c>
      <c r="DW47" s="21">
        <f t="shared" si="28"/>
        <v>22656890</v>
      </c>
      <c r="DX47" s="21">
        <f t="shared" si="28"/>
        <v>1703417</v>
      </c>
      <c r="DY47" s="21">
        <f t="shared" si="28"/>
        <v>0</v>
      </c>
      <c r="DZ47" s="21">
        <f t="shared" si="28"/>
        <v>0</v>
      </c>
      <c r="EA47" s="21">
        <f t="shared" si="28"/>
        <v>0</v>
      </c>
      <c r="EB47" s="21">
        <f t="shared" si="28"/>
        <v>0</v>
      </c>
      <c r="EE47" s="39">
        <f t="shared" si="29"/>
        <v>2983654075</v>
      </c>
      <c r="EF47" s="39">
        <f t="shared" si="30"/>
        <v>2152179683</v>
      </c>
    </row>
    <row r="48" spans="1:136" ht="26.25" hidden="1" customHeight="1" x14ac:dyDescent="0.25">
      <c r="A48" s="48"/>
      <c r="B48" s="171" t="s">
        <v>162</v>
      </c>
      <c r="C48" s="17" t="s">
        <v>163</v>
      </c>
      <c r="D48" s="29" t="s">
        <v>164</v>
      </c>
      <c r="E48" s="19">
        <v>410</v>
      </c>
      <c r="F48" s="31" t="s">
        <v>165</v>
      </c>
      <c r="G48" s="21">
        <f t="shared" si="20"/>
        <v>139000000</v>
      </c>
      <c r="H48" s="22">
        <v>198000000</v>
      </c>
      <c r="I48" s="22">
        <f t="shared" si="31"/>
        <v>59000000</v>
      </c>
      <c r="J48" s="21"/>
      <c r="K48" s="21">
        <v>90000000</v>
      </c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>
        <v>20000000</v>
      </c>
      <c r="AB48" s="21"/>
      <c r="AC48" s="21"/>
      <c r="AD48" s="21"/>
      <c r="AE48" s="21"/>
      <c r="AF48" s="21">
        <f>5000000+24000000</f>
        <v>29000000</v>
      </c>
      <c r="AG48" s="23">
        <f t="shared" si="1"/>
        <v>0.93703764028776981</v>
      </c>
      <c r="AH48" s="21">
        <f t="shared" si="21"/>
        <v>130248232</v>
      </c>
      <c r="AI48" s="21"/>
      <c r="AJ48" s="21">
        <f>+'[1]Acuerdo PLAN INVERSIÓN 2021'!$J$3962</f>
        <v>89754339</v>
      </c>
      <c r="AK48" s="21"/>
      <c r="AL48" s="21"/>
      <c r="AM48" s="21"/>
      <c r="AN48" s="21"/>
      <c r="AO48" s="21"/>
      <c r="AP48" s="21"/>
      <c r="AQ48" s="21"/>
      <c r="AR48" s="21"/>
      <c r="AS48" s="21"/>
      <c r="AT48" s="21"/>
      <c r="AU48" s="21"/>
      <c r="AV48" s="21"/>
      <c r="AW48" s="21"/>
      <c r="AX48" s="21"/>
      <c r="AY48" s="21"/>
      <c r="AZ48" s="21">
        <f>+'[1]Acuerdo PLAN INVERSIÓN 2021'!$X$3962</f>
        <v>13018560</v>
      </c>
      <c r="BA48" s="21"/>
      <c r="BB48" s="21"/>
      <c r="BC48" s="21"/>
      <c r="BD48" s="21"/>
      <c r="BE48" s="21">
        <f>+'[1]Acuerdo PLAN INVERSIÓN 2021'!$AF$3962</f>
        <v>27475333</v>
      </c>
      <c r="BF48" s="23">
        <f t="shared" si="12"/>
        <v>6.2962359712230187E-2</v>
      </c>
      <c r="BG48" s="21">
        <f t="shared" si="22"/>
        <v>8751768</v>
      </c>
      <c r="BH48" s="21">
        <f t="shared" si="34"/>
        <v>0</v>
      </c>
      <c r="BI48" s="21">
        <f t="shared" si="34"/>
        <v>245661</v>
      </c>
      <c r="BJ48" s="21">
        <f t="shared" si="34"/>
        <v>0</v>
      </c>
      <c r="BK48" s="21">
        <f t="shared" si="34"/>
        <v>0</v>
      </c>
      <c r="BL48" s="21">
        <f t="shared" si="34"/>
        <v>0</v>
      </c>
      <c r="BM48" s="21">
        <f t="shared" si="34"/>
        <v>0</v>
      </c>
      <c r="BN48" s="21">
        <f t="shared" si="34"/>
        <v>0</v>
      </c>
      <c r="BO48" s="21">
        <f t="shared" si="34"/>
        <v>0</v>
      </c>
      <c r="BP48" s="21">
        <f t="shared" si="34"/>
        <v>0</v>
      </c>
      <c r="BQ48" s="21">
        <f t="shared" si="34"/>
        <v>0</v>
      </c>
      <c r="BR48" s="21">
        <f t="shared" si="34"/>
        <v>0</v>
      </c>
      <c r="BS48" s="21">
        <f t="shared" si="34"/>
        <v>0</v>
      </c>
      <c r="BT48" s="21">
        <f t="shared" si="34"/>
        <v>0</v>
      </c>
      <c r="BU48" s="21">
        <f t="shared" si="34"/>
        <v>0</v>
      </c>
      <c r="BV48" s="21">
        <f t="shared" si="34"/>
        <v>0</v>
      </c>
      <c r="BW48" s="21">
        <f t="shared" si="32"/>
        <v>0</v>
      </c>
      <c r="BX48" s="21">
        <f t="shared" si="24"/>
        <v>0</v>
      </c>
      <c r="BY48" s="21">
        <f t="shared" si="24"/>
        <v>6981440</v>
      </c>
      <c r="BZ48" s="21">
        <f t="shared" si="24"/>
        <v>0</v>
      </c>
      <c r="CA48" s="21">
        <f t="shared" si="24"/>
        <v>0</v>
      </c>
      <c r="CB48" s="21">
        <f t="shared" si="24"/>
        <v>0</v>
      </c>
      <c r="CC48" s="21">
        <f t="shared" si="24"/>
        <v>0</v>
      </c>
      <c r="CD48" s="21">
        <f t="shared" si="24"/>
        <v>1524667</v>
      </c>
      <c r="CE48" s="23">
        <f t="shared" si="6"/>
        <v>0.93703764028776981</v>
      </c>
      <c r="CF48" s="21">
        <f t="shared" si="25"/>
        <v>130248232</v>
      </c>
      <c r="CG48" s="21"/>
      <c r="CH48" s="21">
        <f>+'[1]Acuerdo PLAN INVERSIÓN 2021'!$J$3962</f>
        <v>89754339</v>
      </c>
      <c r="CI48" s="21"/>
      <c r="CJ48" s="21"/>
      <c r="CK48" s="21"/>
      <c r="CL48" s="21"/>
      <c r="CM48" s="21"/>
      <c r="CN48" s="21"/>
      <c r="CO48" s="21"/>
      <c r="CP48" s="21"/>
      <c r="CQ48" s="21"/>
      <c r="CR48" s="21"/>
      <c r="CS48" s="21"/>
      <c r="CT48" s="21"/>
      <c r="CU48" s="21"/>
      <c r="CV48" s="21"/>
      <c r="CW48" s="21"/>
      <c r="CX48" s="21">
        <f>+'[1]Acuerdo PLAN INVERSIÓN 2021'!$X$3962</f>
        <v>13018560</v>
      </c>
      <c r="CY48" s="21"/>
      <c r="CZ48" s="21"/>
      <c r="DA48" s="21"/>
      <c r="DB48" s="21"/>
      <c r="DC48" s="21">
        <f>+'[1]Acuerdo PLAN INVERSIÓN 2021'!$AF$3962</f>
        <v>27475333</v>
      </c>
      <c r="DD48" s="23">
        <f t="shared" si="8"/>
        <v>6.2962359712230187E-2</v>
      </c>
      <c r="DE48" s="21">
        <f t="shared" si="26"/>
        <v>8751768</v>
      </c>
      <c r="DF48" s="21">
        <f t="shared" si="35"/>
        <v>0</v>
      </c>
      <c r="DG48" s="21">
        <f t="shared" si="35"/>
        <v>245661</v>
      </c>
      <c r="DH48" s="21">
        <f t="shared" si="35"/>
        <v>0</v>
      </c>
      <c r="DI48" s="21">
        <f t="shared" si="35"/>
        <v>0</v>
      </c>
      <c r="DJ48" s="21">
        <f t="shared" si="35"/>
        <v>0</v>
      </c>
      <c r="DK48" s="21">
        <f t="shared" si="35"/>
        <v>0</v>
      </c>
      <c r="DL48" s="21">
        <f t="shared" si="35"/>
        <v>0</v>
      </c>
      <c r="DM48" s="21">
        <f t="shared" si="35"/>
        <v>0</v>
      </c>
      <c r="DN48" s="21">
        <f t="shared" si="35"/>
        <v>0</v>
      </c>
      <c r="DO48" s="21">
        <f t="shared" si="35"/>
        <v>0</v>
      </c>
      <c r="DP48" s="21">
        <f t="shared" si="35"/>
        <v>0</v>
      </c>
      <c r="DQ48" s="21">
        <f t="shared" si="35"/>
        <v>0</v>
      </c>
      <c r="DR48" s="21">
        <f t="shared" si="35"/>
        <v>0</v>
      </c>
      <c r="DS48" s="21">
        <f t="shared" si="35"/>
        <v>0</v>
      </c>
      <c r="DT48" s="21">
        <f t="shared" si="35"/>
        <v>0</v>
      </c>
      <c r="DU48" s="21">
        <f t="shared" si="33"/>
        <v>0</v>
      </c>
      <c r="DV48" s="21">
        <f t="shared" si="28"/>
        <v>0</v>
      </c>
      <c r="DW48" s="21">
        <f t="shared" si="28"/>
        <v>6981440</v>
      </c>
      <c r="DX48" s="21">
        <f t="shared" si="28"/>
        <v>0</v>
      </c>
      <c r="DY48" s="21">
        <f t="shared" si="28"/>
        <v>0</v>
      </c>
      <c r="DZ48" s="21">
        <f t="shared" si="28"/>
        <v>0</v>
      </c>
      <c r="EA48" s="21">
        <f t="shared" si="28"/>
        <v>0</v>
      </c>
      <c r="EB48" s="21">
        <f t="shared" si="28"/>
        <v>1524667</v>
      </c>
      <c r="EE48" s="39">
        <f t="shared" si="29"/>
        <v>139000000</v>
      </c>
      <c r="EF48" s="39">
        <f t="shared" si="30"/>
        <v>130248232</v>
      </c>
    </row>
    <row r="49" spans="1:137" ht="29.25" hidden="1" customHeight="1" x14ac:dyDescent="0.25">
      <c r="A49" s="48"/>
      <c r="B49" s="172"/>
      <c r="C49" s="17" t="s">
        <v>166</v>
      </c>
      <c r="D49" s="29" t="s">
        <v>167</v>
      </c>
      <c r="E49" s="19">
        <v>410</v>
      </c>
      <c r="F49" s="20" t="s">
        <v>168</v>
      </c>
      <c r="G49" s="21">
        <f t="shared" si="20"/>
        <v>144453059</v>
      </c>
      <c r="H49" s="22">
        <v>100000000</v>
      </c>
      <c r="I49" s="22">
        <f t="shared" si="31"/>
        <v>-44453059</v>
      </c>
      <c r="J49" s="21"/>
      <c r="K49" s="21"/>
      <c r="L49" s="21"/>
      <c r="M49" s="21"/>
      <c r="N49" s="21"/>
      <c r="O49" s="21"/>
      <c r="P49" s="21"/>
      <c r="Q49" s="21">
        <v>30000000</v>
      </c>
      <c r="R49" s="21"/>
      <c r="S49" s="21"/>
      <c r="T49" s="21"/>
      <c r="U49" s="21"/>
      <c r="V49" s="21"/>
      <c r="W49" s="21"/>
      <c r="X49" s="21"/>
      <c r="Y49" s="21"/>
      <c r="Z49" s="21"/>
      <c r="AA49" s="21">
        <v>45015674</v>
      </c>
      <c r="AB49" s="21"/>
      <c r="AC49" s="21"/>
      <c r="AD49" s="21"/>
      <c r="AE49" s="21"/>
      <c r="AF49" s="21">
        <f>10000000+17180000+4100000+23621676+3000000+3000000+5535709+3000000</f>
        <v>69437385</v>
      </c>
      <c r="AG49" s="23">
        <f t="shared" si="1"/>
        <v>0.77507559739527565</v>
      </c>
      <c r="AH49" s="21">
        <f>SUM(AI49:BE49)</f>
        <v>111962041</v>
      </c>
      <c r="AI49" s="21"/>
      <c r="AJ49" s="21"/>
      <c r="AK49" s="21"/>
      <c r="AL49" s="21"/>
      <c r="AM49" s="21"/>
      <c r="AN49" s="21"/>
      <c r="AO49" s="21"/>
      <c r="AP49" s="21">
        <f>+'[1]Acuerdo PLAN INVERSIÓN 2021'!$S$4006</f>
        <v>23679830</v>
      </c>
      <c r="AQ49" s="21"/>
      <c r="AR49" s="21"/>
      <c r="AS49" s="21"/>
      <c r="AT49" s="21"/>
      <c r="AU49" s="21"/>
      <c r="AV49" s="21"/>
      <c r="AW49" s="21"/>
      <c r="AX49" s="21"/>
      <c r="AY49" s="21"/>
      <c r="AZ49" s="21">
        <f>+'[1]Acuerdo PLAN INVERSIÓN 2021'!$X$4006</f>
        <v>20969400</v>
      </c>
      <c r="BA49" s="21"/>
      <c r="BB49" s="21"/>
      <c r="BC49" s="21"/>
      <c r="BD49" s="21"/>
      <c r="BE49" s="21">
        <f>+'[1]Acuerdo PLAN INVERSIÓN 2021'!$AF$4006</f>
        <v>67312811</v>
      </c>
      <c r="BF49" s="23">
        <f t="shared" si="12"/>
        <v>0.22492440260472435</v>
      </c>
      <c r="BG49" s="21">
        <f t="shared" si="22"/>
        <v>32491018</v>
      </c>
      <c r="BH49" s="21">
        <f t="shared" si="34"/>
        <v>0</v>
      </c>
      <c r="BI49" s="21">
        <f t="shared" si="34"/>
        <v>0</v>
      </c>
      <c r="BJ49" s="21">
        <f t="shared" si="34"/>
        <v>0</v>
      </c>
      <c r="BK49" s="21">
        <f t="shared" si="34"/>
        <v>0</v>
      </c>
      <c r="BL49" s="21">
        <f t="shared" si="34"/>
        <v>0</v>
      </c>
      <c r="BM49" s="21">
        <f t="shared" si="34"/>
        <v>0</v>
      </c>
      <c r="BN49" s="21">
        <f t="shared" si="34"/>
        <v>0</v>
      </c>
      <c r="BO49" s="21">
        <f t="shared" si="34"/>
        <v>6320170</v>
      </c>
      <c r="BP49" s="21">
        <f t="shared" si="34"/>
        <v>0</v>
      </c>
      <c r="BQ49" s="21">
        <f t="shared" si="34"/>
        <v>0</v>
      </c>
      <c r="BR49" s="21">
        <f t="shared" si="34"/>
        <v>0</v>
      </c>
      <c r="BS49" s="21">
        <f t="shared" si="34"/>
        <v>0</v>
      </c>
      <c r="BT49" s="21">
        <f t="shared" si="34"/>
        <v>0</v>
      </c>
      <c r="BU49" s="21">
        <f t="shared" si="34"/>
        <v>0</v>
      </c>
      <c r="BV49" s="21">
        <f t="shared" si="34"/>
        <v>0</v>
      </c>
      <c r="BW49" s="21">
        <f t="shared" si="32"/>
        <v>0</v>
      </c>
      <c r="BX49" s="21">
        <f t="shared" si="24"/>
        <v>0</v>
      </c>
      <c r="BY49" s="21">
        <f t="shared" si="24"/>
        <v>24046274</v>
      </c>
      <c r="BZ49" s="21">
        <f t="shared" si="24"/>
        <v>0</v>
      </c>
      <c r="CA49" s="21">
        <f t="shared" si="24"/>
        <v>0</v>
      </c>
      <c r="CB49" s="21">
        <f t="shared" si="24"/>
        <v>0</v>
      </c>
      <c r="CC49" s="21">
        <f t="shared" si="24"/>
        <v>0</v>
      </c>
      <c r="CD49" s="21">
        <f t="shared" si="24"/>
        <v>2124574</v>
      </c>
      <c r="CE49" s="23">
        <f t="shared" si="6"/>
        <v>0.77507559739527565</v>
      </c>
      <c r="CF49" s="21">
        <f t="shared" si="25"/>
        <v>111962041</v>
      </c>
      <c r="CG49" s="21"/>
      <c r="CH49" s="21"/>
      <c r="CI49" s="21"/>
      <c r="CJ49" s="21"/>
      <c r="CK49" s="21"/>
      <c r="CL49" s="21"/>
      <c r="CM49" s="21"/>
      <c r="CN49" s="21">
        <f>+'[1]Acuerdo PLAN INVERSIÓN 2021'!$S$4006</f>
        <v>23679830</v>
      </c>
      <c r="CO49" s="21"/>
      <c r="CP49" s="21"/>
      <c r="CQ49" s="21"/>
      <c r="CR49" s="21"/>
      <c r="CS49" s="21"/>
      <c r="CT49" s="21"/>
      <c r="CU49" s="21"/>
      <c r="CV49" s="21"/>
      <c r="CW49" s="21"/>
      <c r="CX49" s="21">
        <f>+'[1]Acuerdo PLAN INVERSIÓN 2021'!$X$4006</f>
        <v>20969400</v>
      </c>
      <c r="CY49" s="21"/>
      <c r="CZ49" s="21"/>
      <c r="DA49" s="21"/>
      <c r="DB49" s="21"/>
      <c r="DC49" s="21">
        <f>+'[1]Acuerdo PLAN INVERSIÓN 2021'!$AF$4006</f>
        <v>67312811</v>
      </c>
      <c r="DD49" s="23">
        <f>1-CE49</f>
        <v>0.22492440260472435</v>
      </c>
      <c r="DE49" s="21">
        <f t="shared" si="26"/>
        <v>32491018</v>
      </c>
      <c r="DF49" s="21">
        <f t="shared" si="35"/>
        <v>0</v>
      </c>
      <c r="DG49" s="21">
        <f t="shared" si="35"/>
        <v>0</v>
      </c>
      <c r="DH49" s="21">
        <f t="shared" si="35"/>
        <v>0</v>
      </c>
      <c r="DI49" s="21">
        <f t="shared" si="35"/>
        <v>0</v>
      </c>
      <c r="DJ49" s="21">
        <f t="shared" si="35"/>
        <v>0</v>
      </c>
      <c r="DK49" s="21">
        <f t="shared" si="35"/>
        <v>0</v>
      </c>
      <c r="DL49" s="21">
        <f t="shared" si="35"/>
        <v>0</v>
      </c>
      <c r="DM49" s="21">
        <f t="shared" si="35"/>
        <v>6320170</v>
      </c>
      <c r="DN49" s="21">
        <f t="shared" si="35"/>
        <v>0</v>
      </c>
      <c r="DO49" s="21">
        <f t="shared" si="35"/>
        <v>0</v>
      </c>
      <c r="DP49" s="21">
        <f t="shared" si="35"/>
        <v>0</v>
      </c>
      <c r="DQ49" s="21">
        <f t="shared" si="35"/>
        <v>0</v>
      </c>
      <c r="DR49" s="21">
        <f t="shared" si="35"/>
        <v>0</v>
      </c>
      <c r="DS49" s="21">
        <f t="shared" si="35"/>
        <v>0</v>
      </c>
      <c r="DT49" s="21">
        <f t="shared" si="35"/>
        <v>0</v>
      </c>
      <c r="DU49" s="21">
        <f t="shared" si="33"/>
        <v>0</v>
      </c>
      <c r="DV49" s="21">
        <f t="shared" si="28"/>
        <v>0</v>
      </c>
      <c r="DW49" s="21">
        <f t="shared" si="28"/>
        <v>24046274</v>
      </c>
      <c r="DX49" s="21">
        <f t="shared" si="28"/>
        <v>0</v>
      </c>
      <c r="DY49" s="21">
        <f t="shared" si="28"/>
        <v>0</v>
      </c>
      <c r="DZ49" s="21">
        <f t="shared" si="28"/>
        <v>0</v>
      </c>
      <c r="EA49" s="21">
        <f t="shared" si="28"/>
        <v>0</v>
      </c>
      <c r="EB49" s="21">
        <f t="shared" si="28"/>
        <v>2124574</v>
      </c>
      <c r="EE49" s="39">
        <f t="shared" si="29"/>
        <v>144453059</v>
      </c>
      <c r="EF49" s="39">
        <f t="shared" si="30"/>
        <v>111962041</v>
      </c>
    </row>
    <row r="50" spans="1:137" ht="23.25" hidden="1" customHeight="1" x14ac:dyDescent="0.25">
      <c r="A50" s="48"/>
      <c r="B50" s="173"/>
      <c r="C50" s="17" t="s">
        <v>169</v>
      </c>
      <c r="D50" s="29" t="s">
        <v>170</v>
      </c>
      <c r="E50" s="19">
        <v>410</v>
      </c>
      <c r="F50" s="31" t="s">
        <v>153</v>
      </c>
      <c r="G50" s="21">
        <f t="shared" si="20"/>
        <v>387982158</v>
      </c>
      <c r="H50" s="22">
        <v>243836000</v>
      </c>
      <c r="I50" s="22">
        <f t="shared" si="31"/>
        <v>-144146158</v>
      </c>
      <c r="J50" s="21"/>
      <c r="K50" s="21">
        <f>150000000+20000000</f>
        <v>170000000</v>
      </c>
      <c r="L50" s="21"/>
      <c r="M50" s="21"/>
      <c r="N50" s="21"/>
      <c r="O50" s="21"/>
      <c r="P50" s="21"/>
      <c r="Q50" s="21">
        <f>17696610+25000000</f>
        <v>42696610</v>
      </c>
      <c r="R50" s="21"/>
      <c r="S50" s="21"/>
      <c r="T50" s="21"/>
      <c r="U50" s="21">
        <f>20000000+38135548</f>
        <v>58135548</v>
      </c>
      <c r="V50" s="21"/>
      <c r="W50" s="21"/>
      <c r="X50" s="21"/>
      <c r="Y50" s="21"/>
      <c r="Z50" s="21"/>
      <c r="AA50" s="21">
        <v>110000000</v>
      </c>
      <c r="AB50" s="21"/>
      <c r="AC50" s="21"/>
      <c r="AD50" s="21"/>
      <c r="AE50" s="21"/>
      <c r="AF50" s="21">
        <f>5000000+25000000-22850000</f>
        <v>7150000</v>
      </c>
      <c r="AG50" s="23">
        <f t="shared" si="1"/>
        <v>0.43678893605205421</v>
      </c>
      <c r="AH50" s="21">
        <f t="shared" si="21"/>
        <v>169466314</v>
      </c>
      <c r="AI50" s="21"/>
      <c r="AJ50" s="21">
        <f>+'[1]Acuerdo PLAN INVERSIÓN 2021'!$J$4064</f>
        <v>110918042</v>
      </c>
      <c r="AK50" s="21"/>
      <c r="AL50" s="21"/>
      <c r="AM50" s="21"/>
      <c r="AN50" s="21"/>
      <c r="AO50" s="21"/>
      <c r="AP50" s="21">
        <f>+'[1]Acuerdo PLAN INVERSIÓN 2021'!$S$4064</f>
        <v>20540000</v>
      </c>
      <c r="AQ50" s="21"/>
      <c r="AR50" s="21"/>
      <c r="AS50" s="21"/>
      <c r="AT50" s="21">
        <f>+'[1]Acuerdo PLAN INVERSIÓN 2021'!$O$4064</f>
        <v>12596000</v>
      </c>
      <c r="AU50" s="21"/>
      <c r="AV50" s="21"/>
      <c r="AW50" s="21"/>
      <c r="AX50" s="21"/>
      <c r="AY50" s="21"/>
      <c r="AZ50" s="21">
        <f>+'[1]Acuerdo PLAN INVERSIÓN 2021'!$X$4064</f>
        <v>18262272</v>
      </c>
      <c r="BA50" s="21"/>
      <c r="BB50" s="21"/>
      <c r="BC50" s="21"/>
      <c r="BD50" s="21"/>
      <c r="BE50" s="21">
        <f>+'[3]Acuerdo PLAN INVERSIÓN 2021'!$AF$2646</f>
        <v>7150000</v>
      </c>
      <c r="BF50" s="23">
        <f t="shared" si="12"/>
        <v>0.56321106394794573</v>
      </c>
      <c r="BG50" s="21">
        <f t="shared" si="22"/>
        <v>218515844</v>
      </c>
      <c r="BH50" s="21">
        <f t="shared" si="34"/>
        <v>0</v>
      </c>
      <c r="BI50" s="21">
        <f t="shared" si="34"/>
        <v>59081958</v>
      </c>
      <c r="BJ50" s="21">
        <f t="shared" si="34"/>
        <v>0</v>
      </c>
      <c r="BK50" s="21">
        <f t="shared" si="34"/>
        <v>0</v>
      </c>
      <c r="BL50" s="21">
        <f t="shared" si="34"/>
        <v>0</v>
      </c>
      <c r="BM50" s="21">
        <f t="shared" si="34"/>
        <v>0</v>
      </c>
      <c r="BN50" s="21">
        <f t="shared" si="34"/>
        <v>0</v>
      </c>
      <c r="BO50" s="21">
        <f t="shared" si="34"/>
        <v>22156610</v>
      </c>
      <c r="BP50" s="21">
        <f t="shared" si="34"/>
        <v>0</v>
      </c>
      <c r="BQ50" s="21">
        <f t="shared" si="34"/>
        <v>0</v>
      </c>
      <c r="BR50" s="21">
        <f t="shared" si="34"/>
        <v>0</v>
      </c>
      <c r="BS50" s="21">
        <f t="shared" si="34"/>
        <v>45539548</v>
      </c>
      <c r="BT50" s="21">
        <f t="shared" si="34"/>
        <v>0</v>
      </c>
      <c r="BU50" s="21">
        <f t="shared" si="34"/>
        <v>0</v>
      </c>
      <c r="BV50" s="21">
        <f t="shared" si="34"/>
        <v>0</v>
      </c>
      <c r="BW50" s="21">
        <f t="shared" si="32"/>
        <v>0</v>
      </c>
      <c r="BX50" s="21">
        <f t="shared" si="24"/>
        <v>0</v>
      </c>
      <c r="BY50" s="21">
        <f t="shared" si="24"/>
        <v>91737728</v>
      </c>
      <c r="BZ50" s="21">
        <f t="shared" si="24"/>
        <v>0</v>
      </c>
      <c r="CA50" s="21">
        <f t="shared" si="24"/>
        <v>0</v>
      </c>
      <c r="CB50" s="21">
        <f t="shared" si="24"/>
        <v>0</v>
      </c>
      <c r="CC50" s="21">
        <f t="shared" si="24"/>
        <v>0</v>
      </c>
      <c r="CD50" s="21">
        <f t="shared" si="24"/>
        <v>0</v>
      </c>
      <c r="CE50" s="23">
        <f t="shared" si="6"/>
        <v>0.43678893605205421</v>
      </c>
      <c r="CF50" s="21">
        <f t="shared" si="25"/>
        <v>169466314</v>
      </c>
      <c r="CG50" s="21"/>
      <c r="CH50" s="21">
        <f>+'[1]Acuerdo PLAN INVERSIÓN 2021'!$J$4064</f>
        <v>110918042</v>
      </c>
      <c r="CI50" s="21"/>
      <c r="CJ50" s="21"/>
      <c r="CK50" s="21"/>
      <c r="CL50" s="21"/>
      <c r="CM50" s="21"/>
      <c r="CN50" s="21">
        <f>+'[1]Acuerdo PLAN INVERSIÓN 2021'!$S$4064</f>
        <v>20540000</v>
      </c>
      <c r="CO50" s="21"/>
      <c r="CP50" s="21"/>
      <c r="CQ50" s="21"/>
      <c r="CR50" s="21">
        <f>+'[1]Acuerdo PLAN INVERSIÓN 2021'!$O$4064</f>
        <v>12596000</v>
      </c>
      <c r="CS50" s="21"/>
      <c r="CT50" s="21"/>
      <c r="CU50" s="21"/>
      <c r="CV50" s="21"/>
      <c r="CW50" s="21"/>
      <c r="CX50" s="21">
        <f>+'[1]Acuerdo PLAN INVERSIÓN 2021'!$X$4064</f>
        <v>18262272</v>
      </c>
      <c r="CY50" s="21"/>
      <c r="CZ50" s="21"/>
      <c r="DA50" s="21"/>
      <c r="DB50" s="21"/>
      <c r="DC50" s="21">
        <f>+'[3]Acuerdo PLAN INVERSIÓN 2021'!$AF$2646</f>
        <v>7150000</v>
      </c>
      <c r="DD50" s="23">
        <f t="shared" si="8"/>
        <v>0.56321106394794573</v>
      </c>
      <c r="DE50" s="21">
        <f t="shared" si="26"/>
        <v>218515844</v>
      </c>
      <c r="DF50" s="21">
        <f t="shared" si="35"/>
        <v>0</v>
      </c>
      <c r="DG50" s="21">
        <f t="shared" si="35"/>
        <v>59081958</v>
      </c>
      <c r="DH50" s="21">
        <f t="shared" si="35"/>
        <v>0</v>
      </c>
      <c r="DI50" s="21">
        <f t="shared" si="35"/>
        <v>0</v>
      </c>
      <c r="DJ50" s="21">
        <f t="shared" si="35"/>
        <v>0</v>
      </c>
      <c r="DK50" s="21">
        <f t="shared" si="35"/>
        <v>0</v>
      </c>
      <c r="DL50" s="21">
        <f t="shared" si="35"/>
        <v>0</v>
      </c>
      <c r="DM50" s="21">
        <f t="shared" si="35"/>
        <v>22156610</v>
      </c>
      <c r="DN50" s="21">
        <f t="shared" si="35"/>
        <v>0</v>
      </c>
      <c r="DO50" s="21">
        <f t="shared" si="35"/>
        <v>0</v>
      </c>
      <c r="DP50" s="21">
        <f t="shared" si="35"/>
        <v>0</v>
      </c>
      <c r="DQ50" s="21">
        <f t="shared" si="35"/>
        <v>45539548</v>
      </c>
      <c r="DR50" s="21">
        <f t="shared" si="35"/>
        <v>0</v>
      </c>
      <c r="DS50" s="21">
        <f t="shared" si="35"/>
        <v>0</v>
      </c>
      <c r="DT50" s="21">
        <f t="shared" si="35"/>
        <v>0</v>
      </c>
      <c r="DU50" s="21">
        <f t="shared" si="33"/>
        <v>0</v>
      </c>
      <c r="DV50" s="21">
        <f t="shared" si="28"/>
        <v>0</v>
      </c>
      <c r="DW50" s="21">
        <f t="shared" si="28"/>
        <v>91737728</v>
      </c>
      <c r="DX50" s="21">
        <f t="shared" si="28"/>
        <v>0</v>
      </c>
      <c r="DY50" s="21">
        <f t="shared" si="28"/>
        <v>0</v>
      </c>
      <c r="DZ50" s="21">
        <f t="shared" si="28"/>
        <v>0</v>
      </c>
      <c r="EA50" s="21">
        <f t="shared" si="28"/>
        <v>0</v>
      </c>
      <c r="EB50" s="21">
        <f t="shared" si="28"/>
        <v>0</v>
      </c>
      <c r="EE50" s="39">
        <f t="shared" si="29"/>
        <v>387982158</v>
      </c>
      <c r="EF50" s="39">
        <f t="shared" si="30"/>
        <v>169466314</v>
      </c>
      <c r="EG50" s="134">
        <f>+CE50</f>
        <v>0.43678893605205421</v>
      </c>
    </row>
    <row r="51" spans="1:137" s="38" customFormat="1" ht="17.399999999999999" customHeight="1" thickTop="1" thickBot="1" x14ac:dyDescent="0.35">
      <c r="A51" s="49"/>
      <c r="B51" s="213" t="s">
        <v>171</v>
      </c>
      <c r="C51" s="214"/>
      <c r="D51" s="214"/>
      <c r="E51" s="215"/>
      <c r="F51" s="124"/>
      <c r="G51" s="125">
        <f t="shared" ref="G51:AF51" si="36">SUM(G26:G50)</f>
        <v>9209707080</v>
      </c>
      <c r="H51" s="125">
        <f t="shared" si="36"/>
        <v>7720196000</v>
      </c>
      <c r="I51" s="125">
        <f t="shared" si="36"/>
        <v>-1489511080</v>
      </c>
      <c r="J51" s="125">
        <f t="shared" si="36"/>
        <v>0</v>
      </c>
      <c r="K51" s="125">
        <f t="shared" si="36"/>
        <v>477989917</v>
      </c>
      <c r="L51" s="125">
        <f t="shared" si="36"/>
        <v>0</v>
      </c>
      <c r="M51" s="125">
        <f t="shared" si="36"/>
        <v>0</v>
      </c>
      <c r="N51" s="125">
        <f t="shared" si="36"/>
        <v>0</v>
      </c>
      <c r="O51" s="125">
        <f t="shared" si="36"/>
        <v>0</v>
      </c>
      <c r="P51" s="125">
        <f t="shared" si="36"/>
        <v>0</v>
      </c>
      <c r="Q51" s="125">
        <f t="shared" si="36"/>
        <v>3406132571</v>
      </c>
      <c r="R51" s="125">
        <f t="shared" si="36"/>
        <v>75000000</v>
      </c>
      <c r="S51" s="125">
        <f t="shared" si="36"/>
        <v>180000000</v>
      </c>
      <c r="T51" s="125">
        <f t="shared" si="36"/>
        <v>30000000</v>
      </c>
      <c r="U51" s="125">
        <f t="shared" si="36"/>
        <v>58135548</v>
      </c>
      <c r="V51" s="125">
        <f t="shared" si="36"/>
        <v>0</v>
      </c>
      <c r="W51" s="125">
        <f t="shared" si="36"/>
        <v>0</v>
      </c>
      <c r="X51" s="125">
        <f t="shared" si="36"/>
        <v>104834591</v>
      </c>
      <c r="Y51" s="125">
        <f>SUM(Y26:Y50)</f>
        <v>2860154075</v>
      </c>
      <c r="Z51" s="125">
        <f t="shared" si="36"/>
        <v>0</v>
      </c>
      <c r="AA51" s="125">
        <f t="shared" si="36"/>
        <v>625000000</v>
      </c>
      <c r="AB51" s="125">
        <f t="shared" si="36"/>
        <v>392155169</v>
      </c>
      <c r="AC51" s="125">
        <f t="shared" si="36"/>
        <v>0</v>
      </c>
      <c r="AD51" s="125">
        <f t="shared" si="36"/>
        <v>475996742</v>
      </c>
      <c r="AE51" s="125">
        <f t="shared" si="36"/>
        <v>0</v>
      </c>
      <c r="AF51" s="125">
        <f t="shared" si="36"/>
        <v>524308467</v>
      </c>
      <c r="AG51" s="123">
        <f t="shared" si="1"/>
        <v>0.59088263575913857</v>
      </c>
      <c r="AH51" s="125">
        <f>SUM(AH26:AH50)</f>
        <v>5441855994</v>
      </c>
      <c r="AI51" s="125">
        <f t="shared" ref="AI51:CT51" si="37">SUM(AI26:AI50)</f>
        <v>0</v>
      </c>
      <c r="AJ51" s="125">
        <f t="shared" si="37"/>
        <v>363975706</v>
      </c>
      <c r="AK51" s="125">
        <f t="shared" si="37"/>
        <v>0</v>
      </c>
      <c r="AL51" s="125">
        <f t="shared" si="37"/>
        <v>0</v>
      </c>
      <c r="AM51" s="125">
        <f t="shared" si="37"/>
        <v>0</v>
      </c>
      <c r="AN51" s="125">
        <f t="shared" si="37"/>
        <v>0</v>
      </c>
      <c r="AO51" s="125">
        <f t="shared" si="37"/>
        <v>0</v>
      </c>
      <c r="AP51" s="125">
        <f t="shared" si="37"/>
        <v>1838633546</v>
      </c>
      <c r="AQ51" s="125">
        <f t="shared" si="37"/>
        <v>23499931</v>
      </c>
      <c r="AR51" s="125">
        <f t="shared" si="37"/>
        <v>21467891</v>
      </c>
      <c r="AS51" s="125">
        <f t="shared" si="37"/>
        <v>12049526</v>
      </c>
      <c r="AT51" s="125">
        <f t="shared" si="37"/>
        <v>12596000</v>
      </c>
      <c r="AU51" s="125">
        <f t="shared" si="37"/>
        <v>0</v>
      </c>
      <c r="AV51" s="125">
        <f t="shared" si="37"/>
        <v>0</v>
      </c>
      <c r="AW51" s="125">
        <f t="shared" si="37"/>
        <v>7388999</v>
      </c>
      <c r="AX51" s="125">
        <f t="shared" si="37"/>
        <v>2066607734</v>
      </c>
      <c r="AY51" s="125">
        <f t="shared" si="37"/>
        <v>0</v>
      </c>
      <c r="AZ51" s="125">
        <f t="shared" si="37"/>
        <v>352349776</v>
      </c>
      <c r="BA51" s="125">
        <f t="shared" si="37"/>
        <v>45669605</v>
      </c>
      <c r="BB51" s="125">
        <f t="shared" si="37"/>
        <v>0</v>
      </c>
      <c r="BC51" s="125">
        <f t="shared" si="37"/>
        <v>331087169</v>
      </c>
      <c r="BD51" s="125">
        <f t="shared" si="37"/>
        <v>0</v>
      </c>
      <c r="BE51" s="125">
        <f t="shared" si="37"/>
        <v>366530111</v>
      </c>
      <c r="BF51" s="123">
        <f t="shared" si="12"/>
        <v>0.40911736424086143</v>
      </c>
      <c r="BG51" s="125">
        <f t="shared" si="37"/>
        <v>3767851086</v>
      </c>
      <c r="BH51" s="125">
        <f t="shared" si="37"/>
        <v>0</v>
      </c>
      <c r="BI51" s="125">
        <f t="shared" si="37"/>
        <v>114014211</v>
      </c>
      <c r="BJ51" s="125">
        <f t="shared" si="37"/>
        <v>0</v>
      </c>
      <c r="BK51" s="125">
        <f t="shared" si="37"/>
        <v>0</v>
      </c>
      <c r="BL51" s="125">
        <f t="shared" si="37"/>
        <v>0</v>
      </c>
      <c r="BM51" s="125">
        <f t="shared" si="37"/>
        <v>0</v>
      </c>
      <c r="BN51" s="125">
        <f t="shared" si="37"/>
        <v>0</v>
      </c>
      <c r="BO51" s="125">
        <f t="shared" si="37"/>
        <v>1567499025</v>
      </c>
      <c r="BP51" s="125">
        <f t="shared" si="37"/>
        <v>51500069</v>
      </c>
      <c r="BQ51" s="125">
        <f t="shared" si="37"/>
        <v>158532109</v>
      </c>
      <c r="BR51" s="125">
        <f t="shared" si="37"/>
        <v>17950474</v>
      </c>
      <c r="BS51" s="125">
        <f t="shared" si="37"/>
        <v>45539548</v>
      </c>
      <c r="BT51" s="125">
        <f t="shared" si="37"/>
        <v>0</v>
      </c>
      <c r="BU51" s="125">
        <f t="shared" si="37"/>
        <v>0</v>
      </c>
      <c r="BV51" s="125">
        <f t="shared" si="37"/>
        <v>97445592</v>
      </c>
      <c r="BW51" s="125">
        <f t="shared" si="37"/>
        <v>793546341</v>
      </c>
      <c r="BX51" s="125">
        <f t="shared" si="37"/>
        <v>0</v>
      </c>
      <c r="BY51" s="125">
        <f t="shared" si="37"/>
        <v>272650224</v>
      </c>
      <c r="BZ51" s="125">
        <f t="shared" si="37"/>
        <v>346485564</v>
      </c>
      <c r="CA51" s="125">
        <f t="shared" si="37"/>
        <v>0</v>
      </c>
      <c r="CB51" s="125">
        <f t="shared" si="37"/>
        <v>144909573</v>
      </c>
      <c r="CC51" s="125">
        <f t="shared" si="37"/>
        <v>0</v>
      </c>
      <c r="CD51" s="125">
        <f t="shared" si="37"/>
        <v>157778356</v>
      </c>
      <c r="CE51" s="121">
        <f t="shared" si="6"/>
        <v>0.59088263575913857</v>
      </c>
      <c r="CF51" s="125">
        <f t="shared" si="37"/>
        <v>5441855994</v>
      </c>
      <c r="CG51" s="125">
        <f t="shared" si="37"/>
        <v>0</v>
      </c>
      <c r="CH51" s="125">
        <f t="shared" si="37"/>
        <v>363975706</v>
      </c>
      <c r="CI51" s="125">
        <f t="shared" si="37"/>
        <v>0</v>
      </c>
      <c r="CJ51" s="125">
        <f t="shared" si="37"/>
        <v>0</v>
      </c>
      <c r="CK51" s="125">
        <f t="shared" si="37"/>
        <v>0</v>
      </c>
      <c r="CL51" s="125">
        <f t="shared" si="37"/>
        <v>0</v>
      </c>
      <c r="CM51" s="125">
        <f t="shared" si="37"/>
        <v>0</v>
      </c>
      <c r="CN51" s="125">
        <f t="shared" si="37"/>
        <v>1838633546</v>
      </c>
      <c r="CO51" s="125">
        <f t="shared" si="37"/>
        <v>23499931</v>
      </c>
      <c r="CP51" s="125">
        <f t="shared" si="37"/>
        <v>21467891</v>
      </c>
      <c r="CQ51" s="125">
        <f t="shared" si="37"/>
        <v>12049526</v>
      </c>
      <c r="CR51" s="125">
        <f t="shared" si="37"/>
        <v>12596000</v>
      </c>
      <c r="CS51" s="125">
        <f t="shared" si="37"/>
        <v>0</v>
      </c>
      <c r="CT51" s="125">
        <f t="shared" si="37"/>
        <v>0</v>
      </c>
      <c r="CU51" s="125">
        <f t="shared" ref="CU51:EB51" si="38">SUM(CU26:CU50)</f>
        <v>7388999</v>
      </c>
      <c r="CV51" s="125">
        <f t="shared" si="38"/>
        <v>2066607734</v>
      </c>
      <c r="CW51" s="125">
        <f t="shared" si="38"/>
        <v>0</v>
      </c>
      <c r="CX51" s="125">
        <f t="shared" si="38"/>
        <v>352349776</v>
      </c>
      <c r="CY51" s="125">
        <f t="shared" si="38"/>
        <v>45669605</v>
      </c>
      <c r="CZ51" s="125">
        <f t="shared" si="38"/>
        <v>0</v>
      </c>
      <c r="DA51" s="125">
        <f t="shared" si="38"/>
        <v>331087169</v>
      </c>
      <c r="DB51" s="125">
        <f t="shared" si="38"/>
        <v>0</v>
      </c>
      <c r="DC51" s="125">
        <f t="shared" si="38"/>
        <v>366530111</v>
      </c>
      <c r="DD51" s="123">
        <f t="shared" si="8"/>
        <v>0.40911736424086143</v>
      </c>
      <c r="DE51" s="125">
        <f t="shared" si="38"/>
        <v>3767851086</v>
      </c>
      <c r="DF51" s="125">
        <f t="shared" si="38"/>
        <v>0</v>
      </c>
      <c r="DG51" s="125">
        <f t="shared" si="38"/>
        <v>114014211</v>
      </c>
      <c r="DH51" s="125">
        <f t="shared" si="38"/>
        <v>0</v>
      </c>
      <c r="DI51" s="125">
        <f t="shared" si="38"/>
        <v>0</v>
      </c>
      <c r="DJ51" s="125">
        <f t="shared" si="38"/>
        <v>0</v>
      </c>
      <c r="DK51" s="125">
        <f t="shared" si="38"/>
        <v>0</v>
      </c>
      <c r="DL51" s="125">
        <f t="shared" si="38"/>
        <v>0</v>
      </c>
      <c r="DM51" s="125">
        <f t="shared" si="38"/>
        <v>1567499025</v>
      </c>
      <c r="DN51" s="125">
        <f t="shared" si="38"/>
        <v>51500069</v>
      </c>
      <c r="DO51" s="125">
        <f t="shared" si="38"/>
        <v>158532109</v>
      </c>
      <c r="DP51" s="125">
        <f t="shared" si="38"/>
        <v>17950474</v>
      </c>
      <c r="DQ51" s="125">
        <f t="shared" si="38"/>
        <v>45539548</v>
      </c>
      <c r="DR51" s="125">
        <f t="shared" si="38"/>
        <v>0</v>
      </c>
      <c r="DS51" s="125">
        <f t="shared" si="38"/>
        <v>0</v>
      </c>
      <c r="DT51" s="125">
        <f t="shared" si="38"/>
        <v>97445592</v>
      </c>
      <c r="DU51" s="125">
        <f t="shared" si="38"/>
        <v>793546341</v>
      </c>
      <c r="DV51" s="125">
        <f t="shared" si="38"/>
        <v>0</v>
      </c>
      <c r="DW51" s="125">
        <f t="shared" si="38"/>
        <v>272650224</v>
      </c>
      <c r="DX51" s="125">
        <f t="shared" si="38"/>
        <v>346485564</v>
      </c>
      <c r="DY51" s="125">
        <f t="shared" si="38"/>
        <v>0</v>
      </c>
      <c r="DZ51" s="125">
        <f t="shared" si="38"/>
        <v>144909573</v>
      </c>
      <c r="EA51" s="125">
        <f t="shared" si="38"/>
        <v>0</v>
      </c>
      <c r="EB51" s="125">
        <f t="shared" si="38"/>
        <v>157778356</v>
      </c>
      <c r="ED51" s="135" t="s">
        <v>383</v>
      </c>
      <c r="EE51" s="39">
        <f t="shared" si="29"/>
        <v>9209707080</v>
      </c>
      <c r="EF51" s="39">
        <f t="shared" si="30"/>
        <v>5441855994</v>
      </c>
      <c r="EG51" s="139">
        <f>+CE51</f>
        <v>0.59088263575913857</v>
      </c>
    </row>
    <row r="52" spans="1:137" ht="27.75" hidden="1" customHeight="1" thickTop="1" x14ac:dyDescent="0.25">
      <c r="A52" s="174" t="s">
        <v>172</v>
      </c>
      <c r="B52" s="182" t="s">
        <v>173</v>
      </c>
      <c r="C52" s="50" t="s">
        <v>174</v>
      </c>
      <c r="D52" s="29" t="s">
        <v>175</v>
      </c>
      <c r="E52" s="51">
        <v>520</v>
      </c>
      <c r="F52" s="31" t="s">
        <v>176</v>
      </c>
      <c r="G52" s="21">
        <f t="shared" ref="G52:G77" si="39">SUM(J52:AF52)</f>
        <v>33908250</v>
      </c>
      <c r="H52" s="22">
        <v>45000000</v>
      </c>
      <c r="I52" s="22">
        <f>H52-G52</f>
        <v>11091750</v>
      </c>
      <c r="J52" s="21"/>
      <c r="K52" s="21">
        <f>20000000+10000000-6091750</f>
        <v>23908250</v>
      </c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>
        <f>20000000-20000000</f>
        <v>0</v>
      </c>
      <c r="AB52" s="21"/>
      <c r="AC52" s="21"/>
      <c r="AD52" s="21"/>
      <c r="AE52" s="21"/>
      <c r="AF52" s="21">
        <f>6000000+4000000</f>
        <v>10000000</v>
      </c>
      <c r="AG52" s="42">
        <f t="shared" si="1"/>
        <v>0.394749065492911</v>
      </c>
      <c r="AH52" s="43">
        <f t="shared" ref="AH52:AH115" si="40">SUM(AI52:BE52)</f>
        <v>13385250</v>
      </c>
      <c r="AI52" s="21"/>
      <c r="AJ52" s="43">
        <f>+'[1]Acuerdo PLAN INVERSIÓN 2021'!$J$4237</f>
        <v>12885250</v>
      </c>
      <c r="AK52" s="43"/>
      <c r="AL52" s="43"/>
      <c r="AM52" s="43"/>
      <c r="AN52" s="43"/>
      <c r="AO52" s="43"/>
      <c r="AP52" s="43"/>
      <c r="AQ52" s="43"/>
      <c r="AR52" s="43"/>
      <c r="AS52" s="43"/>
      <c r="AT52" s="43"/>
      <c r="AU52" s="43"/>
      <c r="AV52" s="43"/>
      <c r="AW52" s="43"/>
      <c r="AX52" s="43"/>
      <c r="AY52" s="43"/>
      <c r="AZ52" s="43"/>
      <c r="BA52" s="43"/>
      <c r="BB52" s="43"/>
      <c r="BC52" s="43"/>
      <c r="BD52" s="43"/>
      <c r="BE52" s="43">
        <f>+'[1]Acuerdo PLAN INVERSIÓN 2021'!$AF$4237</f>
        <v>500000</v>
      </c>
      <c r="BF52" s="42">
        <f t="shared" si="12"/>
        <v>0.605250934507089</v>
      </c>
      <c r="BG52" s="21">
        <f t="shared" ref="BG52:BG77" si="41">SUM(BH52:CD52)</f>
        <v>20523000</v>
      </c>
      <c r="BH52" s="21">
        <f t="shared" ref="BH52:BW67" si="42">+J52-AI52</f>
        <v>0</v>
      </c>
      <c r="BI52" s="21">
        <f t="shared" si="42"/>
        <v>11023000</v>
      </c>
      <c r="BJ52" s="21">
        <f t="shared" si="42"/>
        <v>0</v>
      </c>
      <c r="BK52" s="21">
        <f t="shared" si="42"/>
        <v>0</v>
      </c>
      <c r="BL52" s="21">
        <f t="shared" si="42"/>
        <v>0</v>
      </c>
      <c r="BM52" s="21">
        <f t="shared" si="42"/>
        <v>0</v>
      </c>
      <c r="BN52" s="21">
        <f t="shared" si="42"/>
        <v>0</v>
      </c>
      <c r="BO52" s="21">
        <f t="shared" si="42"/>
        <v>0</v>
      </c>
      <c r="BP52" s="21">
        <f t="shared" si="42"/>
        <v>0</v>
      </c>
      <c r="BQ52" s="21">
        <f t="shared" si="42"/>
        <v>0</v>
      </c>
      <c r="BR52" s="21">
        <f t="shared" si="42"/>
        <v>0</v>
      </c>
      <c r="BS52" s="21">
        <f t="shared" si="42"/>
        <v>0</v>
      </c>
      <c r="BT52" s="21">
        <f t="shared" si="42"/>
        <v>0</v>
      </c>
      <c r="BU52" s="21">
        <f t="shared" si="42"/>
        <v>0</v>
      </c>
      <c r="BV52" s="21">
        <f t="shared" si="42"/>
        <v>0</v>
      </c>
      <c r="BW52" s="21">
        <f t="shared" si="42"/>
        <v>0</v>
      </c>
      <c r="BX52" s="21">
        <f t="shared" ref="BX52:CD77" si="43">+Z52-AY52</f>
        <v>0</v>
      </c>
      <c r="BY52" s="21">
        <f t="shared" si="43"/>
        <v>0</v>
      </c>
      <c r="BZ52" s="21">
        <f t="shared" si="43"/>
        <v>0</v>
      </c>
      <c r="CA52" s="21">
        <f t="shared" si="43"/>
        <v>0</v>
      </c>
      <c r="CB52" s="21">
        <f t="shared" si="43"/>
        <v>0</v>
      </c>
      <c r="CC52" s="21">
        <f t="shared" si="43"/>
        <v>0</v>
      </c>
      <c r="CD52" s="21">
        <f t="shared" si="43"/>
        <v>9500000</v>
      </c>
      <c r="CE52" s="42">
        <f t="shared" si="6"/>
        <v>0.394749065492911</v>
      </c>
      <c r="CF52" s="21">
        <f t="shared" ref="CF52:CF115" si="44">SUM(CG52:DC52)</f>
        <v>13385250</v>
      </c>
      <c r="CG52" s="21"/>
      <c r="CH52" s="43">
        <f>+'[1]Acuerdo PLAN INVERSIÓN 2021'!$J$4237</f>
        <v>12885250</v>
      </c>
      <c r="CI52" s="43"/>
      <c r="CJ52" s="43"/>
      <c r="CK52" s="43"/>
      <c r="CL52" s="43"/>
      <c r="CM52" s="43"/>
      <c r="CN52" s="43"/>
      <c r="CO52" s="43"/>
      <c r="CP52" s="43"/>
      <c r="CQ52" s="43"/>
      <c r="CR52" s="43"/>
      <c r="CS52" s="43"/>
      <c r="CT52" s="43"/>
      <c r="CU52" s="43"/>
      <c r="CV52" s="43"/>
      <c r="CW52" s="43"/>
      <c r="CX52" s="43"/>
      <c r="CY52" s="43"/>
      <c r="CZ52" s="43"/>
      <c r="DA52" s="43"/>
      <c r="DB52" s="43"/>
      <c r="DC52" s="43">
        <f>+'[1]Acuerdo PLAN INVERSIÓN 2021'!$AF$4237</f>
        <v>500000</v>
      </c>
      <c r="DD52" s="23">
        <f t="shared" si="8"/>
        <v>0.605250934507089</v>
      </c>
      <c r="DE52" s="21">
        <f t="shared" ref="DE52:DE97" si="45">SUM(DF52:EB52)</f>
        <v>20523000</v>
      </c>
      <c r="DF52" s="21">
        <f t="shared" ref="DF52:DU67" si="46">+J52-CG52</f>
        <v>0</v>
      </c>
      <c r="DG52" s="21">
        <f t="shared" si="46"/>
        <v>11023000</v>
      </c>
      <c r="DH52" s="21">
        <f t="shared" si="46"/>
        <v>0</v>
      </c>
      <c r="DI52" s="21">
        <f t="shared" si="46"/>
        <v>0</v>
      </c>
      <c r="DJ52" s="21">
        <f t="shared" si="46"/>
        <v>0</v>
      </c>
      <c r="DK52" s="21">
        <f t="shared" si="46"/>
        <v>0</v>
      </c>
      <c r="DL52" s="21">
        <f t="shared" si="46"/>
        <v>0</v>
      </c>
      <c r="DM52" s="21">
        <f t="shared" si="46"/>
        <v>0</v>
      </c>
      <c r="DN52" s="21">
        <f t="shared" si="46"/>
        <v>0</v>
      </c>
      <c r="DO52" s="21">
        <f t="shared" si="46"/>
        <v>0</v>
      </c>
      <c r="DP52" s="21">
        <f t="shared" si="46"/>
        <v>0</v>
      </c>
      <c r="DQ52" s="21">
        <f t="shared" si="46"/>
        <v>0</v>
      </c>
      <c r="DR52" s="21">
        <f t="shared" si="46"/>
        <v>0</v>
      </c>
      <c r="DS52" s="21">
        <f t="shared" si="46"/>
        <v>0</v>
      </c>
      <c r="DT52" s="21">
        <f t="shared" si="46"/>
        <v>0</v>
      </c>
      <c r="DU52" s="21">
        <f t="shared" si="46"/>
        <v>0</v>
      </c>
      <c r="DV52" s="21">
        <f t="shared" ref="DV52:EB77" si="47">+Z52-CW52</f>
        <v>0</v>
      </c>
      <c r="DW52" s="21">
        <f t="shared" si="47"/>
        <v>0</v>
      </c>
      <c r="DX52" s="21">
        <f t="shared" si="47"/>
        <v>0</v>
      </c>
      <c r="DY52" s="21">
        <f t="shared" si="47"/>
        <v>0</v>
      </c>
      <c r="DZ52" s="21">
        <f t="shared" si="47"/>
        <v>0</v>
      </c>
      <c r="EA52" s="21">
        <f t="shared" si="47"/>
        <v>0</v>
      </c>
      <c r="EB52" s="21">
        <f t="shared" si="47"/>
        <v>9500000</v>
      </c>
      <c r="EE52" s="39">
        <f t="shared" si="29"/>
        <v>33908250</v>
      </c>
      <c r="EF52" s="39">
        <f t="shared" si="30"/>
        <v>13385250</v>
      </c>
    </row>
    <row r="53" spans="1:137" ht="24.75" hidden="1" customHeight="1" x14ac:dyDescent="0.25">
      <c r="A53" s="175"/>
      <c r="B53" s="172"/>
      <c r="C53" s="33" t="s">
        <v>177</v>
      </c>
      <c r="D53" s="29" t="s">
        <v>178</v>
      </c>
      <c r="E53" s="19">
        <v>520</v>
      </c>
      <c r="F53" s="20" t="s">
        <v>179</v>
      </c>
      <c r="G53" s="21">
        <f t="shared" si="39"/>
        <v>60000000</v>
      </c>
      <c r="H53" s="22">
        <v>70000000</v>
      </c>
      <c r="I53" s="22">
        <f t="shared" ref="I53:I77" si="48">H53-G53</f>
        <v>10000000</v>
      </c>
      <c r="J53" s="21"/>
      <c r="K53" s="21">
        <f>20000000+10000000</f>
        <v>30000000</v>
      </c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>
        <f>30000000</f>
        <v>30000000</v>
      </c>
      <c r="AB53" s="21"/>
      <c r="AC53" s="21"/>
      <c r="AD53" s="21"/>
      <c r="AE53" s="21"/>
      <c r="AF53" s="21">
        <f>16000000-16000000</f>
        <v>0</v>
      </c>
      <c r="AG53" s="23">
        <f t="shared" si="1"/>
        <v>0.61724058333333331</v>
      </c>
      <c r="AH53" s="21">
        <f t="shared" si="40"/>
        <v>37034435</v>
      </c>
      <c r="AI53" s="21"/>
      <c r="AJ53" s="21">
        <f>+'[1]Acuerdo PLAN INVERSIÓN 2021'!$J$4260</f>
        <v>19999997</v>
      </c>
      <c r="AK53" s="21"/>
      <c r="AL53" s="21"/>
      <c r="AM53" s="21"/>
      <c r="AN53" s="21"/>
      <c r="AO53" s="21"/>
      <c r="AP53" s="21"/>
      <c r="AQ53" s="21"/>
      <c r="AR53" s="21"/>
      <c r="AS53" s="21"/>
      <c r="AT53" s="21"/>
      <c r="AU53" s="21"/>
      <c r="AV53" s="21"/>
      <c r="AW53" s="21"/>
      <c r="AX53" s="21"/>
      <c r="AY53" s="21"/>
      <c r="AZ53" s="21">
        <f>+'[1]Acuerdo PLAN INVERSIÓN 2021'!$X$4260</f>
        <v>17034438</v>
      </c>
      <c r="BA53" s="21"/>
      <c r="BB53" s="21"/>
      <c r="BC53" s="21"/>
      <c r="BD53" s="21"/>
      <c r="BE53" s="21"/>
      <c r="BF53" s="23">
        <f t="shared" si="12"/>
        <v>0.38275941666666669</v>
      </c>
      <c r="BG53" s="21">
        <f t="shared" si="41"/>
        <v>22965565</v>
      </c>
      <c r="BH53" s="21">
        <f t="shared" si="42"/>
        <v>0</v>
      </c>
      <c r="BI53" s="21">
        <f t="shared" si="42"/>
        <v>10000003</v>
      </c>
      <c r="BJ53" s="21">
        <f t="shared" si="42"/>
        <v>0</v>
      </c>
      <c r="BK53" s="21">
        <f t="shared" si="42"/>
        <v>0</v>
      </c>
      <c r="BL53" s="21">
        <f t="shared" si="42"/>
        <v>0</v>
      </c>
      <c r="BM53" s="21">
        <f t="shared" si="42"/>
        <v>0</v>
      </c>
      <c r="BN53" s="21">
        <f t="shared" si="42"/>
        <v>0</v>
      </c>
      <c r="BO53" s="21">
        <f t="shared" si="42"/>
        <v>0</v>
      </c>
      <c r="BP53" s="21">
        <f t="shared" si="42"/>
        <v>0</v>
      </c>
      <c r="BQ53" s="21">
        <f t="shared" si="42"/>
        <v>0</v>
      </c>
      <c r="BR53" s="21">
        <f t="shared" si="42"/>
        <v>0</v>
      </c>
      <c r="BS53" s="21">
        <f t="shared" si="42"/>
        <v>0</v>
      </c>
      <c r="BT53" s="21">
        <f t="shared" si="42"/>
        <v>0</v>
      </c>
      <c r="BU53" s="21">
        <f t="shared" si="42"/>
        <v>0</v>
      </c>
      <c r="BV53" s="21">
        <f t="shared" si="42"/>
        <v>0</v>
      </c>
      <c r="BW53" s="21">
        <f t="shared" si="42"/>
        <v>0</v>
      </c>
      <c r="BX53" s="21">
        <f t="shared" si="43"/>
        <v>0</v>
      </c>
      <c r="BY53" s="21">
        <f t="shared" si="43"/>
        <v>12965562</v>
      </c>
      <c r="BZ53" s="21">
        <f t="shared" si="43"/>
        <v>0</v>
      </c>
      <c r="CA53" s="21">
        <f t="shared" si="43"/>
        <v>0</v>
      </c>
      <c r="CB53" s="21">
        <f t="shared" si="43"/>
        <v>0</v>
      </c>
      <c r="CC53" s="21">
        <f t="shared" si="43"/>
        <v>0</v>
      </c>
      <c r="CD53" s="21">
        <f t="shared" si="43"/>
        <v>0</v>
      </c>
      <c r="CE53" s="23">
        <f t="shared" si="6"/>
        <v>0.61724058333333331</v>
      </c>
      <c r="CF53" s="21">
        <f t="shared" si="44"/>
        <v>37034435</v>
      </c>
      <c r="CG53" s="21"/>
      <c r="CH53" s="21">
        <f>+'[12]Acuerdo PLAN INVERSIÓN 2021'!$H$657+'[6]Acuerdo PLAN INVERSIÓN 2021'!$H$1400+'[6]Acuerdo PLAN INVERSIÓN 2021'!$H$1403</f>
        <v>19999997</v>
      </c>
      <c r="CI53" s="21"/>
      <c r="CJ53" s="21"/>
      <c r="CK53" s="21"/>
      <c r="CL53" s="21"/>
      <c r="CM53" s="21"/>
      <c r="CN53" s="21"/>
      <c r="CO53" s="21"/>
      <c r="CP53" s="21"/>
      <c r="CQ53" s="21"/>
      <c r="CR53" s="21"/>
      <c r="CS53" s="21"/>
      <c r="CT53" s="21"/>
      <c r="CU53" s="21"/>
      <c r="CV53" s="21"/>
      <c r="CW53" s="21"/>
      <c r="CX53" s="21">
        <f>+'[2]Acuerdo PLAN INVERSIÓN 2021'!$H$2006+'[2]Acuerdo PLAN INVERSIÓN 2021'!$H$2009</f>
        <v>17034438</v>
      </c>
      <c r="CY53" s="21"/>
      <c r="CZ53" s="21"/>
      <c r="DA53" s="21"/>
      <c r="DB53" s="21"/>
      <c r="DC53" s="21"/>
      <c r="DD53" s="23">
        <f t="shared" si="8"/>
        <v>0.38275941666666669</v>
      </c>
      <c r="DE53" s="21">
        <f t="shared" si="45"/>
        <v>22965565</v>
      </c>
      <c r="DF53" s="21">
        <f t="shared" si="46"/>
        <v>0</v>
      </c>
      <c r="DG53" s="21">
        <f t="shared" si="46"/>
        <v>10000003</v>
      </c>
      <c r="DH53" s="21">
        <f t="shared" si="46"/>
        <v>0</v>
      </c>
      <c r="DI53" s="21">
        <f t="shared" si="46"/>
        <v>0</v>
      </c>
      <c r="DJ53" s="21">
        <f t="shared" si="46"/>
        <v>0</v>
      </c>
      <c r="DK53" s="21">
        <f t="shared" si="46"/>
        <v>0</v>
      </c>
      <c r="DL53" s="21">
        <f t="shared" si="46"/>
        <v>0</v>
      </c>
      <c r="DM53" s="21">
        <f t="shared" si="46"/>
        <v>0</v>
      </c>
      <c r="DN53" s="21">
        <f t="shared" si="46"/>
        <v>0</v>
      </c>
      <c r="DO53" s="21">
        <f t="shared" si="46"/>
        <v>0</v>
      </c>
      <c r="DP53" s="21">
        <f t="shared" si="46"/>
        <v>0</v>
      </c>
      <c r="DQ53" s="21">
        <f t="shared" si="46"/>
        <v>0</v>
      </c>
      <c r="DR53" s="21">
        <f t="shared" si="46"/>
        <v>0</v>
      </c>
      <c r="DS53" s="21">
        <f t="shared" si="46"/>
        <v>0</v>
      </c>
      <c r="DT53" s="21">
        <f t="shared" si="46"/>
        <v>0</v>
      </c>
      <c r="DU53" s="21">
        <f t="shared" si="46"/>
        <v>0</v>
      </c>
      <c r="DV53" s="21">
        <f t="shared" si="47"/>
        <v>0</v>
      </c>
      <c r="DW53" s="21">
        <f t="shared" si="47"/>
        <v>12965562</v>
      </c>
      <c r="DX53" s="21">
        <f t="shared" si="47"/>
        <v>0</v>
      </c>
      <c r="DY53" s="21">
        <f t="shared" si="47"/>
        <v>0</v>
      </c>
      <c r="DZ53" s="21">
        <f t="shared" si="47"/>
        <v>0</v>
      </c>
      <c r="EA53" s="21">
        <f t="shared" si="47"/>
        <v>0</v>
      </c>
      <c r="EB53" s="21">
        <f t="shared" si="47"/>
        <v>0</v>
      </c>
      <c r="EE53" s="39">
        <f t="shared" si="29"/>
        <v>60000000</v>
      </c>
      <c r="EF53" s="39">
        <f t="shared" si="30"/>
        <v>37034435</v>
      </c>
    </row>
    <row r="54" spans="1:137" ht="21.6" hidden="1" customHeight="1" x14ac:dyDescent="0.25">
      <c r="A54" s="175"/>
      <c r="B54" s="172"/>
      <c r="C54" s="33" t="s">
        <v>180</v>
      </c>
      <c r="D54" s="29" t="s">
        <v>181</v>
      </c>
      <c r="E54" s="19">
        <v>520</v>
      </c>
      <c r="F54" s="20" t="s">
        <v>105</v>
      </c>
      <c r="G54" s="21">
        <f t="shared" si="39"/>
        <v>65000000</v>
      </c>
      <c r="H54" s="22">
        <v>55000000</v>
      </c>
      <c r="I54" s="22">
        <f t="shared" si="48"/>
        <v>-10000000</v>
      </c>
      <c r="J54" s="21"/>
      <c r="K54" s="21">
        <f>20000000+10000000-5000000</f>
        <v>25000000</v>
      </c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>
        <f>40000000</f>
        <v>40000000</v>
      </c>
      <c r="AB54" s="21"/>
      <c r="AC54" s="21"/>
      <c r="AD54" s="21"/>
      <c r="AE54" s="21"/>
      <c r="AF54" s="21"/>
      <c r="AG54" s="23">
        <f t="shared" si="1"/>
        <v>0.21538458461538462</v>
      </c>
      <c r="AH54" s="21">
        <f t="shared" si="40"/>
        <v>13999998</v>
      </c>
      <c r="AI54" s="21"/>
      <c r="AJ54" s="21">
        <f>+'[1]Acuerdo PLAN INVERSIÓN 2021'!$J$4287</f>
        <v>13999998</v>
      </c>
      <c r="AK54" s="21"/>
      <c r="AL54" s="21"/>
      <c r="AM54" s="21"/>
      <c r="AN54" s="21"/>
      <c r="AO54" s="21"/>
      <c r="AP54" s="21"/>
      <c r="AQ54" s="21"/>
      <c r="AR54" s="21"/>
      <c r="AS54" s="21"/>
      <c r="AT54" s="21"/>
      <c r="AU54" s="21"/>
      <c r="AV54" s="21"/>
      <c r="AW54" s="21"/>
      <c r="AX54" s="21"/>
      <c r="AY54" s="21"/>
      <c r="AZ54" s="21"/>
      <c r="BA54" s="21"/>
      <c r="BB54" s="21"/>
      <c r="BC54" s="21"/>
      <c r="BD54" s="21"/>
      <c r="BE54" s="21"/>
      <c r="BF54" s="23">
        <f t="shared" si="12"/>
        <v>0.78461541538461543</v>
      </c>
      <c r="BG54" s="21">
        <f t="shared" si="41"/>
        <v>51000002</v>
      </c>
      <c r="BH54" s="21">
        <f t="shared" si="42"/>
        <v>0</v>
      </c>
      <c r="BI54" s="21">
        <f t="shared" si="42"/>
        <v>11000002</v>
      </c>
      <c r="BJ54" s="21">
        <f t="shared" si="42"/>
        <v>0</v>
      </c>
      <c r="BK54" s="21">
        <f t="shared" si="42"/>
        <v>0</v>
      </c>
      <c r="BL54" s="21">
        <f t="shared" si="42"/>
        <v>0</v>
      </c>
      <c r="BM54" s="21">
        <f t="shared" si="42"/>
        <v>0</v>
      </c>
      <c r="BN54" s="21">
        <f t="shared" si="42"/>
        <v>0</v>
      </c>
      <c r="BO54" s="21">
        <f t="shared" si="42"/>
        <v>0</v>
      </c>
      <c r="BP54" s="21">
        <f t="shared" si="42"/>
        <v>0</v>
      </c>
      <c r="BQ54" s="21">
        <f t="shared" si="42"/>
        <v>0</v>
      </c>
      <c r="BR54" s="21">
        <f t="shared" si="42"/>
        <v>0</v>
      </c>
      <c r="BS54" s="21">
        <f t="shared" si="42"/>
        <v>0</v>
      </c>
      <c r="BT54" s="21">
        <f t="shared" si="42"/>
        <v>0</v>
      </c>
      <c r="BU54" s="21">
        <f t="shared" si="42"/>
        <v>0</v>
      </c>
      <c r="BV54" s="21">
        <f t="shared" si="42"/>
        <v>0</v>
      </c>
      <c r="BW54" s="21">
        <f t="shared" si="42"/>
        <v>0</v>
      </c>
      <c r="BX54" s="21">
        <f t="shared" si="43"/>
        <v>0</v>
      </c>
      <c r="BY54" s="21">
        <f t="shared" si="43"/>
        <v>40000000</v>
      </c>
      <c r="BZ54" s="21">
        <f t="shared" si="43"/>
        <v>0</v>
      </c>
      <c r="CA54" s="21">
        <f t="shared" si="43"/>
        <v>0</v>
      </c>
      <c r="CB54" s="21">
        <f t="shared" si="43"/>
        <v>0</v>
      </c>
      <c r="CC54" s="21">
        <f t="shared" si="43"/>
        <v>0</v>
      </c>
      <c r="CD54" s="21">
        <f t="shared" si="43"/>
        <v>0</v>
      </c>
      <c r="CE54" s="23">
        <f t="shared" si="6"/>
        <v>0.21538458461538462</v>
      </c>
      <c r="CF54" s="21">
        <f t="shared" si="44"/>
        <v>13999998</v>
      </c>
      <c r="CG54" s="21"/>
      <c r="CH54" s="21">
        <f>+'[8]Acuerdo PLAN INVERSIÓN 2021'!$H$3415</f>
        <v>13999998</v>
      </c>
      <c r="CI54" s="21"/>
      <c r="CJ54" s="21"/>
      <c r="CK54" s="21"/>
      <c r="CL54" s="21"/>
      <c r="CM54" s="21"/>
      <c r="CN54" s="21"/>
      <c r="CO54" s="21"/>
      <c r="CP54" s="21"/>
      <c r="CQ54" s="21"/>
      <c r="CR54" s="21"/>
      <c r="CS54" s="21"/>
      <c r="CT54" s="21"/>
      <c r="CU54" s="21"/>
      <c r="CV54" s="21"/>
      <c r="CW54" s="21"/>
      <c r="CX54" s="21"/>
      <c r="CY54" s="21"/>
      <c r="CZ54" s="21"/>
      <c r="DA54" s="21"/>
      <c r="DB54" s="21"/>
      <c r="DC54" s="21"/>
      <c r="DD54" s="23">
        <f t="shared" si="8"/>
        <v>0.78461541538461543</v>
      </c>
      <c r="DE54" s="21">
        <f t="shared" si="45"/>
        <v>51000002</v>
      </c>
      <c r="DF54" s="21">
        <f t="shared" si="46"/>
        <v>0</v>
      </c>
      <c r="DG54" s="21">
        <f t="shared" si="46"/>
        <v>11000002</v>
      </c>
      <c r="DH54" s="21">
        <f t="shared" si="46"/>
        <v>0</v>
      </c>
      <c r="DI54" s="21">
        <f t="shared" si="46"/>
        <v>0</v>
      </c>
      <c r="DJ54" s="21">
        <f t="shared" si="46"/>
        <v>0</v>
      </c>
      <c r="DK54" s="21">
        <f t="shared" si="46"/>
        <v>0</v>
      </c>
      <c r="DL54" s="21">
        <f t="shared" si="46"/>
        <v>0</v>
      </c>
      <c r="DM54" s="21">
        <f t="shared" si="46"/>
        <v>0</v>
      </c>
      <c r="DN54" s="21">
        <f t="shared" si="46"/>
        <v>0</v>
      </c>
      <c r="DO54" s="21">
        <f t="shared" si="46"/>
        <v>0</v>
      </c>
      <c r="DP54" s="21">
        <f t="shared" si="46"/>
        <v>0</v>
      </c>
      <c r="DQ54" s="21">
        <f t="shared" si="46"/>
        <v>0</v>
      </c>
      <c r="DR54" s="21">
        <f t="shared" si="46"/>
        <v>0</v>
      </c>
      <c r="DS54" s="21">
        <f t="shared" si="46"/>
        <v>0</v>
      </c>
      <c r="DT54" s="21">
        <f t="shared" si="46"/>
        <v>0</v>
      </c>
      <c r="DU54" s="21">
        <f t="shared" si="46"/>
        <v>0</v>
      </c>
      <c r="DV54" s="21">
        <f t="shared" si="47"/>
        <v>0</v>
      </c>
      <c r="DW54" s="21">
        <f t="shared" si="47"/>
        <v>40000000</v>
      </c>
      <c r="DX54" s="21">
        <f t="shared" si="47"/>
        <v>0</v>
      </c>
      <c r="DY54" s="21">
        <f t="shared" si="47"/>
        <v>0</v>
      </c>
      <c r="DZ54" s="21">
        <f t="shared" si="47"/>
        <v>0</v>
      </c>
      <c r="EA54" s="21">
        <f t="shared" si="47"/>
        <v>0</v>
      </c>
      <c r="EB54" s="21">
        <f t="shared" si="47"/>
        <v>0</v>
      </c>
      <c r="EE54" s="39">
        <f t="shared" si="29"/>
        <v>65000000</v>
      </c>
      <c r="EF54" s="39">
        <f t="shared" si="30"/>
        <v>13999998</v>
      </c>
    </row>
    <row r="55" spans="1:137" ht="46.5" hidden="1" customHeight="1" x14ac:dyDescent="0.25">
      <c r="A55" s="175"/>
      <c r="B55" s="173"/>
      <c r="C55" s="34" t="s">
        <v>182</v>
      </c>
      <c r="D55" s="29" t="s">
        <v>183</v>
      </c>
      <c r="E55" s="30">
        <v>520</v>
      </c>
      <c r="F55" s="20" t="s">
        <v>184</v>
      </c>
      <c r="G55" s="21">
        <f t="shared" si="39"/>
        <v>88408777</v>
      </c>
      <c r="H55" s="22">
        <v>345000000</v>
      </c>
      <c r="I55" s="22">
        <f t="shared" si="48"/>
        <v>256591223</v>
      </c>
      <c r="J55" s="21"/>
      <c r="K55" s="21">
        <f>20000000+10000000</f>
        <v>30000000</v>
      </c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>
        <f>20000000</f>
        <v>20000000</v>
      </c>
      <c r="AB55" s="21"/>
      <c r="AC55" s="21"/>
      <c r="AD55" s="21"/>
      <c r="AE55" s="21"/>
      <c r="AF55" s="21">
        <f>32208777+1000000-10800000+4000000-10800000+12000000+10800000</f>
        <v>38408777</v>
      </c>
      <c r="AG55" s="23">
        <f t="shared" si="1"/>
        <v>0.36696070346047205</v>
      </c>
      <c r="AH55" s="21">
        <f t="shared" si="40"/>
        <v>32442547</v>
      </c>
      <c r="AI55" s="21"/>
      <c r="AJ55" s="21">
        <f>+'[1]Acuerdo PLAN INVERSIÓN 2021'!$J$4306</f>
        <v>16370983</v>
      </c>
      <c r="AK55" s="21"/>
      <c r="AL55" s="21"/>
      <c r="AM55" s="21"/>
      <c r="AN55" s="21"/>
      <c r="AO55" s="21"/>
      <c r="AP55" s="21"/>
      <c r="AQ55" s="21"/>
      <c r="AR55" s="21"/>
      <c r="AS55" s="21"/>
      <c r="AT55" s="21"/>
      <c r="AU55" s="21"/>
      <c r="AV55" s="21"/>
      <c r="AW55" s="21"/>
      <c r="AX55" s="21"/>
      <c r="AY55" s="21"/>
      <c r="AZ55" s="21"/>
      <c r="BA55" s="21"/>
      <c r="BB55" s="21"/>
      <c r="BC55" s="21"/>
      <c r="BD55" s="21"/>
      <c r="BE55" s="21">
        <f>+'[1]Acuerdo PLAN INVERSIÓN 2021'!$AF$4306</f>
        <v>16071564</v>
      </c>
      <c r="BF55" s="23">
        <f t="shared" si="12"/>
        <v>0.63303929653952795</v>
      </c>
      <c r="BG55" s="21">
        <f t="shared" si="41"/>
        <v>55966230</v>
      </c>
      <c r="BH55" s="21">
        <f t="shared" si="42"/>
        <v>0</v>
      </c>
      <c r="BI55" s="21">
        <f t="shared" si="42"/>
        <v>13629017</v>
      </c>
      <c r="BJ55" s="21">
        <f t="shared" si="42"/>
        <v>0</v>
      </c>
      <c r="BK55" s="21">
        <f t="shared" si="42"/>
        <v>0</v>
      </c>
      <c r="BL55" s="21">
        <f t="shared" si="42"/>
        <v>0</v>
      </c>
      <c r="BM55" s="21">
        <f t="shared" si="42"/>
        <v>0</v>
      </c>
      <c r="BN55" s="21">
        <f t="shared" si="42"/>
        <v>0</v>
      </c>
      <c r="BO55" s="21">
        <f t="shared" si="42"/>
        <v>0</v>
      </c>
      <c r="BP55" s="21">
        <f t="shared" si="42"/>
        <v>0</v>
      </c>
      <c r="BQ55" s="21">
        <f t="shared" si="42"/>
        <v>0</v>
      </c>
      <c r="BR55" s="21">
        <f t="shared" si="42"/>
        <v>0</v>
      </c>
      <c r="BS55" s="21">
        <f t="shared" si="42"/>
        <v>0</v>
      </c>
      <c r="BT55" s="21">
        <f t="shared" si="42"/>
        <v>0</v>
      </c>
      <c r="BU55" s="21">
        <f t="shared" si="42"/>
        <v>0</v>
      </c>
      <c r="BV55" s="21">
        <f t="shared" si="42"/>
        <v>0</v>
      </c>
      <c r="BW55" s="21">
        <f t="shared" si="42"/>
        <v>0</v>
      </c>
      <c r="BX55" s="21">
        <f t="shared" si="43"/>
        <v>0</v>
      </c>
      <c r="BY55" s="21">
        <f t="shared" si="43"/>
        <v>20000000</v>
      </c>
      <c r="BZ55" s="21">
        <f t="shared" si="43"/>
        <v>0</v>
      </c>
      <c r="CA55" s="21">
        <f t="shared" si="43"/>
        <v>0</v>
      </c>
      <c r="CB55" s="21">
        <f t="shared" si="43"/>
        <v>0</v>
      </c>
      <c r="CC55" s="21">
        <f t="shared" si="43"/>
        <v>0</v>
      </c>
      <c r="CD55" s="21">
        <f t="shared" si="43"/>
        <v>22337213</v>
      </c>
      <c r="CE55" s="23">
        <f t="shared" si="6"/>
        <v>0.36696070346047205</v>
      </c>
      <c r="CF55" s="21">
        <f>SUM(CG55:DC55)</f>
        <v>32442547</v>
      </c>
      <c r="CG55" s="21"/>
      <c r="CH55" s="21">
        <f>+'[1]Acuerdo PLAN INVERSIÓN 2021'!$J$4306</f>
        <v>16370983</v>
      </c>
      <c r="CI55" s="21"/>
      <c r="CJ55" s="21"/>
      <c r="CK55" s="21"/>
      <c r="CL55" s="21"/>
      <c r="CM55" s="21"/>
      <c r="CN55" s="21"/>
      <c r="CO55" s="21"/>
      <c r="CP55" s="21"/>
      <c r="CQ55" s="21"/>
      <c r="CR55" s="21"/>
      <c r="CS55" s="21"/>
      <c r="CT55" s="21"/>
      <c r="CU55" s="21"/>
      <c r="CV55" s="21"/>
      <c r="CW55" s="21"/>
      <c r="CX55" s="21"/>
      <c r="CY55" s="21"/>
      <c r="CZ55" s="21"/>
      <c r="DA55" s="21"/>
      <c r="DB55" s="21"/>
      <c r="DC55" s="21">
        <f>+'[1]Acuerdo PLAN INVERSIÓN 2021'!$AF$4306</f>
        <v>16071564</v>
      </c>
      <c r="DD55" s="23">
        <f t="shared" si="8"/>
        <v>0.63303929653952795</v>
      </c>
      <c r="DE55" s="21">
        <f t="shared" si="45"/>
        <v>55966230</v>
      </c>
      <c r="DF55" s="21">
        <f t="shared" si="46"/>
        <v>0</v>
      </c>
      <c r="DG55" s="21">
        <f t="shared" si="46"/>
        <v>13629017</v>
      </c>
      <c r="DH55" s="21">
        <f t="shared" si="46"/>
        <v>0</v>
      </c>
      <c r="DI55" s="21">
        <f t="shared" si="46"/>
        <v>0</v>
      </c>
      <c r="DJ55" s="21">
        <f t="shared" si="46"/>
        <v>0</v>
      </c>
      <c r="DK55" s="21">
        <f t="shared" si="46"/>
        <v>0</v>
      </c>
      <c r="DL55" s="21">
        <f t="shared" si="46"/>
        <v>0</v>
      </c>
      <c r="DM55" s="21">
        <f t="shared" si="46"/>
        <v>0</v>
      </c>
      <c r="DN55" s="21">
        <f t="shared" si="46"/>
        <v>0</v>
      </c>
      <c r="DO55" s="21">
        <f t="shared" si="46"/>
        <v>0</v>
      </c>
      <c r="DP55" s="21">
        <f t="shared" si="46"/>
        <v>0</v>
      </c>
      <c r="DQ55" s="21">
        <f t="shared" si="46"/>
        <v>0</v>
      </c>
      <c r="DR55" s="21">
        <f t="shared" si="46"/>
        <v>0</v>
      </c>
      <c r="DS55" s="21">
        <f t="shared" si="46"/>
        <v>0</v>
      </c>
      <c r="DT55" s="21">
        <f t="shared" si="46"/>
        <v>0</v>
      </c>
      <c r="DU55" s="21">
        <f t="shared" si="46"/>
        <v>0</v>
      </c>
      <c r="DV55" s="21">
        <f t="shared" si="47"/>
        <v>0</v>
      </c>
      <c r="DW55" s="21">
        <f t="shared" si="47"/>
        <v>20000000</v>
      </c>
      <c r="DX55" s="21">
        <f t="shared" si="47"/>
        <v>0</v>
      </c>
      <c r="DY55" s="21">
        <f t="shared" si="47"/>
        <v>0</v>
      </c>
      <c r="DZ55" s="21">
        <f t="shared" si="47"/>
        <v>0</v>
      </c>
      <c r="EA55" s="21">
        <f t="shared" si="47"/>
        <v>0</v>
      </c>
      <c r="EB55" s="21">
        <f t="shared" si="47"/>
        <v>22337213</v>
      </c>
      <c r="EE55" s="39">
        <f t="shared" si="29"/>
        <v>88408777</v>
      </c>
      <c r="EF55" s="39">
        <f t="shared" si="30"/>
        <v>32442547</v>
      </c>
    </row>
    <row r="56" spans="1:137" ht="34.5" hidden="1" customHeight="1" x14ac:dyDescent="0.25">
      <c r="A56" s="175"/>
      <c r="B56" s="171" t="s">
        <v>185</v>
      </c>
      <c r="C56" s="34" t="s">
        <v>186</v>
      </c>
      <c r="D56" s="29" t="s">
        <v>187</v>
      </c>
      <c r="E56" s="19">
        <v>520</v>
      </c>
      <c r="F56" s="20" t="s">
        <v>153</v>
      </c>
      <c r="G56" s="21">
        <f t="shared" si="39"/>
        <v>157113664</v>
      </c>
      <c r="H56" s="22">
        <f>381000000+25000000</f>
        <v>406000000</v>
      </c>
      <c r="I56" s="22">
        <f t="shared" si="48"/>
        <v>248886336</v>
      </c>
      <c r="J56" s="21"/>
      <c r="K56" s="21">
        <f>90000000+10000000</f>
        <v>100000000</v>
      </c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>
        <f>20000000</f>
        <v>20000000</v>
      </c>
      <c r="AB56" s="21">
        <f>15000000</f>
        <v>15000000</v>
      </c>
      <c r="AC56" s="21"/>
      <c r="AD56" s="21"/>
      <c r="AE56" s="21"/>
      <c r="AF56" s="21">
        <f>22113664</f>
        <v>22113664</v>
      </c>
      <c r="AG56" s="23">
        <f t="shared" si="1"/>
        <v>0.98099752800622098</v>
      </c>
      <c r="AH56" s="21">
        <f t="shared" si="40"/>
        <v>154128116</v>
      </c>
      <c r="AI56" s="21"/>
      <c r="AJ56" s="21">
        <f>+'[1]Acuerdo PLAN INVERSIÓN 2021'!$J$4384</f>
        <v>98354787</v>
      </c>
      <c r="AK56" s="21"/>
      <c r="AL56" s="21"/>
      <c r="AM56" s="21"/>
      <c r="AN56" s="21"/>
      <c r="AO56" s="21"/>
      <c r="AP56" s="21"/>
      <c r="AQ56" s="21"/>
      <c r="AR56" s="21"/>
      <c r="AS56" s="21"/>
      <c r="AT56" s="21"/>
      <c r="AU56" s="21"/>
      <c r="AV56" s="21"/>
      <c r="AW56" s="21"/>
      <c r="AX56" s="21"/>
      <c r="AY56" s="21"/>
      <c r="AZ56" s="21">
        <f>+'[1]Acuerdo PLAN INVERSIÓN 2021'!$X$4384</f>
        <v>19123330</v>
      </c>
      <c r="BA56" s="21">
        <f>+'[1]Acuerdo PLAN INVERSIÓN 2021'!$Y$4384</f>
        <v>14999999</v>
      </c>
      <c r="BB56" s="21"/>
      <c r="BC56" s="21"/>
      <c r="BD56" s="21"/>
      <c r="BE56" s="21">
        <f>+'[1]Acuerdo PLAN INVERSIÓN 2021'!$AF$4384</f>
        <v>21650000</v>
      </c>
      <c r="BF56" s="23">
        <f t="shared" si="12"/>
        <v>1.9002471993779024E-2</v>
      </c>
      <c r="BG56" s="21">
        <f t="shared" si="41"/>
        <v>2985548</v>
      </c>
      <c r="BH56" s="21">
        <f t="shared" si="42"/>
        <v>0</v>
      </c>
      <c r="BI56" s="21">
        <f t="shared" si="42"/>
        <v>1645213</v>
      </c>
      <c r="BJ56" s="21">
        <f t="shared" si="42"/>
        <v>0</v>
      </c>
      <c r="BK56" s="21">
        <f t="shared" si="42"/>
        <v>0</v>
      </c>
      <c r="BL56" s="21">
        <f t="shared" si="42"/>
        <v>0</v>
      </c>
      <c r="BM56" s="21">
        <f t="shared" si="42"/>
        <v>0</v>
      </c>
      <c r="BN56" s="21">
        <f t="shared" si="42"/>
        <v>0</v>
      </c>
      <c r="BO56" s="21">
        <f t="shared" si="42"/>
        <v>0</v>
      </c>
      <c r="BP56" s="21">
        <f t="shared" si="42"/>
        <v>0</v>
      </c>
      <c r="BQ56" s="21">
        <f t="shared" si="42"/>
        <v>0</v>
      </c>
      <c r="BR56" s="21">
        <f t="shared" si="42"/>
        <v>0</v>
      </c>
      <c r="BS56" s="21">
        <f t="shared" si="42"/>
        <v>0</v>
      </c>
      <c r="BT56" s="21">
        <f t="shared" si="42"/>
        <v>0</v>
      </c>
      <c r="BU56" s="21">
        <f t="shared" si="42"/>
        <v>0</v>
      </c>
      <c r="BV56" s="21">
        <f t="shared" si="42"/>
        <v>0</v>
      </c>
      <c r="BW56" s="21">
        <f t="shared" si="42"/>
        <v>0</v>
      </c>
      <c r="BX56" s="21">
        <f t="shared" si="43"/>
        <v>0</v>
      </c>
      <c r="BY56" s="21">
        <f t="shared" si="43"/>
        <v>876670</v>
      </c>
      <c r="BZ56" s="21">
        <f t="shared" si="43"/>
        <v>1</v>
      </c>
      <c r="CA56" s="21">
        <f t="shared" si="43"/>
        <v>0</v>
      </c>
      <c r="CB56" s="21">
        <f t="shared" si="43"/>
        <v>0</v>
      </c>
      <c r="CC56" s="21">
        <f t="shared" si="43"/>
        <v>0</v>
      </c>
      <c r="CD56" s="21">
        <f t="shared" si="43"/>
        <v>463664</v>
      </c>
      <c r="CE56" s="23">
        <f t="shared" si="6"/>
        <v>0.98099752800622098</v>
      </c>
      <c r="CF56" s="21">
        <f t="shared" si="44"/>
        <v>154128116</v>
      </c>
      <c r="CG56" s="21"/>
      <c r="CH56" s="21">
        <f>+'[1]Acuerdo PLAN INVERSIÓN 2021'!$J$4384</f>
        <v>98354787</v>
      </c>
      <c r="CI56" s="21"/>
      <c r="CJ56" s="21"/>
      <c r="CK56" s="21"/>
      <c r="CL56" s="21"/>
      <c r="CM56" s="21"/>
      <c r="CN56" s="21"/>
      <c r="CO56" s="21"/>
      <c r="CP56" s="21"/>
      <c r="CQ56" s="21"/>
      <c r="CR56" s="21"/>
      <c r="CS56" s="21"/>
      <c r="CT56" s="21"/>
      <c r="CU56" s="21"/>
      <c r="CV56" s="21"/>
      <c r="CW56" s="21"/>
      <c r="CX56" s="21">
        <f>+'[1]Acuerdo PLAN INVERSIÓN 2021'!$X$4384</f>
        <v>19123330</v>
      </c>
      <c r="CY56" s="21">
        <f>+'[1]Acuerdo PLAN INVERSIÓN 2021'!$Y$4384</f>
        <v>14999999</v>
      </c>
      <c r="CZ56" s="21"/>
      <c r="DA56" s="21"/>
      <c r="DB56" s="21"/>
      <c r="DC56" s="21">
        <f>+'[1]Acuerdo PLAN INVERSIÓN 2021'!$AF$4384</f>
        <v>21650000</v>
      </c>
      <c r="DD56" s="23">
        <f t="shared" si="8"/>
        <v>1.9002471993779024E-2</v>
      </c>
      <c r="DE56" s="21">
        <f t="shared" si="45"/>
        <v>2985548</v>
      </c>
      <c r="DF56" s="21">
        <f t="shared" si="46"/>
        <v>0</v>
      </c>
      <c r="DG56" s="21">
        <f t="shared" si="46"/>
        <v>1645213</v>
      </c>
      <c r="DH56" s="21">
        <f t="shared" si="46"/>
        <v>0</v>
      </c>
      <c r="DI56" s="21">
        <f t="shared" si="46"/>
        <v>0</v>
      </c>
      <c r="DJ56" s="21">
        <f t="shared" si="46"/>
        <v>0</v>
      </c>
      <c r="DK56" s="21">
        <f t="shared" si="46"/>
        <v>0</v>
      </c>
      <c r="DL56" s="21">
        <f t="shared" si="46"/>
        <v>0</v>
      </c>
      <c r="DM56" s="21">
        <f t="shared" si="46"/>
        <v>0</v>
      </c>
      <c r="DN56" s="21">
        <f t="shared" si="46"/>
        <v>0</v>
      </c>
      <c r="DO56" s="21">
        <f t="shared" si="46"/>
        <v>0</v>
      </c>
      <c r="DP56" s="21">
        <f t="shared" si="46"/>
        <v>0</v>
      </c>
      <c r="DQ56" s="21">
        <f t="shared" si="46"/>
        <v>0</v>
      </c>
      <c r="DR56" s="21">
        <f t="shared" si="46"/>
        <v>0</v>
      </c>
      <c r="DS56" s="21">
        <f t="shared" si="46"/>
        <v>0</v>
      </c>
      <c r="DT56" s="21">
        <f t="shared" si="46"/>
        <v>0</v>
      </c>
      <c r="DU56" s="21">
        <f t="shared" si="46"/>
        <v>0</v>
      </c>
      <c r="DV56" s="21">
        <f t="shared" si="47"/>
        <v>0</v>
      </c>
      <c r="DW56" s="21">
        <f t="shared" si="47"/>
        <v>876670</v>
      </c>
      <c r="DX56" s="21">
        <f t="shared" si="47"/>
        <v>1</v>
      </c>
      <c r="DY56" s="21">
        <f t="shared" si="47"/>
        <v>0</v>
      </c>
      <c r="DZ56" s="21">
        <f t="shared" si="47"/>
        <v>0</v>
      </c>
      <c r="EA56" s="21">
        <f t="shared" si="47"/>
        <v>0</v>
      </c>
      <c r="EB56" s="21">
        <f t="shared" si="47"/>
        <v>463664</v>
      </c>
      <c r="EE56" s="39">
        <f t="shared" si="29"/>
        <v>157113664</v>
      </c>
      <c r="EF56" s="39">
        <f t="shared" si="30"/>
        <v>154128116</v>
      </c>
    </row>
    <row r="57" spans="1:137" ht="23.25" hidden="1" customHeight="1" x14ac:dyDescent="0.25">
      <c r="A57" s="175"/>
      <c r="B57" s="172"/>
      <c r="C57" s="33" t="s">
        <v>188</v>
      </c>
      <c r="D57" s="18" t="s">
        <v>189</v>
      </c>
      <c r="E57" s="19">
        <v>520</v>
      </c>
      <c r="F57" s="20" t="s">
        <v>105</v>
      </c>
      <c r="G57" s="21">
        <f t="shared" si="39"/>
        <v>78500000</v>
      </c>
      <c r="H57" s="22">
        <v>144500000</v>
      </c>
      <c r="I57" s="22">
        <f t="shared" si="48"/>
        <v>66000000</v>
      </c>
      <c r="J57" s="21"/>
      <c r="K57" s="21">
        <f>30000000+20000000</f>
        <v>50000000</v>
      </c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>
        <f>20000000</f>
        <v>20000000</v>
      </c>
      <c r="AB57" s="21">
        <f>8500000</f>
        <v>8500000</v>
      </c>
      <c r="AC57" s="21"/>
      <c r="AD57" s="21"/>
      <c r="AE57" s="21"/>
      <c r="AF57" s="21"/>
      <c r="AG57" s="23">
        <f t="shared" si="1"/>
        <v>0.99245815286624206</v>
      </c>
      <c r="AH57" s="21">
        <f t="shared" si="40"/>
        <v>77907965</v>
      </c>
      <c r="AI57" s="21"/>
      <c r="AJ57" s="21">
        <f>+'[1]Acuerdo PLAN INVERSIÓN 2021'!$J$4451</f>
        <v>49999994</v>
      </c>
      <c r="AK57" s="21"/>
      <c r="AL57" s="21"/>
      <c r="AM57" s="21"/>
      <c r="AN57" s="21"/>
      <c r="AO57" s="21"/>
      <c r="AP57" s="21"/>
      <c r="AQ57" s="21"/>
      <c r="AR57" s="21"/>
      <c r="AS57" s="21"/>
      <c r="AT57" s="21"/>
      <c r="AU57" s="21"/>
      <c r="AV57" s="21"/>
      <c r="AW57" s="21"/>
      <c r="AX57" s="21"/>
      <c r="AY57" s="21"/>
      <c r="AZ57" s="21">
        <f>+'[1]Acuerdo PLAN INVERSIÓN 2021'!$X$4451</f>
        <v>19407971</v>
      </c>
      <c r="BA57" s="21">
        <f>+'[3]Acuerdo PLAN INVERSIÓN 2021'!$Y$2922</f>
        <v>8500000</v>
      </c>
      <c r="BB57" s="21"/>
      <c r="BC57" s="21"/>
      <c r="BD57" s="21"/>
      <c r="BE57" s="21"/>
      <c r="BF57" s="23">
        <f t="shared" si="12"/>
        <v>7.5418471337579396E-3</v>
      </c>
      <c r="BG57" s="21">
        <f t="shared" si="41"/>
        <v>592035</v>
      </c>
      <c r="BH57" s="21">
        <f t="shared" si="42"/>
        <v>0</v>
      </c>
      <c r="BI57" s="21">
        <f t="shared" si="42"/>
        <v>6</v>
      </c>
      <c r="BJ57" s="21">
        <f t="shared" si="42"/>
        <v>0</v>
      </c>
      <c r="BK57" s="21">
        <f t="shared" si="42"/>
        <v>0</v>
      </c>
      <c r="BL57" s="21">
        <f t="shared" si="42"/>
        <v>0</v>
      </c>
      <c r="BM57" s="21">
        <f t="shared" si="42"/>
        <v>0</v>
      </c>
      <c r="BN57" s="21">
        <f t="shared" si="42"/>
        <v>0</v>
      </c>
      <c r="BO57" s="21">
        <f t="shared" si="42"/>
        <v>0</v>
      </c>
      <c r="BP57" s="21">
        <f t="shared" si="42"/>
        <v>0</v>
      </c>
      <c r="BQ57" s="21">
        <f t="shared" si="42"/>
        <v>0</v>
      </c>
      <c r="BR57" s="21">
        <f t="shared" si="42"/>
        <v>0</v>
      </c>
      <c r="BS57" s="21">
        <f t="shared" si="42"/>
        <v>0</v>
      </c>
      <c r="BT57" s="21">
        <f t="shared" si="42"/>
        <v>0</v>
      </c>
      <c r="BU57" s="21">
        <f t="shared" si="42"/>
        <v>0</v>
      </c>
      <c r="BV57" s="21">
        <f t="shared" si="42"/>
        <v>0</v>
      </c>
      <c r="BW57" s="21">
        <f t="shared" si="42"/>
        <v>0</v>
      </c>
      <c r="BX57" s="21">
        <f t="shared" si="43"/>
        <v>0</v>
      </c>
      <c r="BY57" s="21">
        <f t="shared" si="43"/>
        <v>592029</v>
      </c>
      <c r="BZ57" s="21">
        <f t="shared" si="43"/>
        <v>0</v>
      </c>
      <c r="CA57" s="21">
        <f t="shared" si="43"/>
        <v>0</v>
      </c>
      <c r="CB57" s="21">
        <f t="shared" si="43"/>
        <v>0</v>
      </c>
      <c r="CC57" s="21">
        <f t="shared" si="43"/>
        <v>0</v>
      </c>
      <c r="CD57" s="21">
        <f t="shared" si="43"/>
        <v>0</v>
      </c>
      <c r="CE57" s="23">
        <f t="shared" si="6"/>
        <v>0.99245815286624206</v>
      </c>
      <c r="CF57" s="21">
        <f t="shared" si="44"/>
        <v>77907965</v>
      </c>
      <c r="CG57" s="21"/>
      <c r="CH57" s="21">
        <f>+'[1]Acuerdo PLAN INVERSIÓN 2021'!$J$4451</f>
        <v>49999994</v>
      </c>
      <c r="CI57" s="21"/>
      <c r="CJ57" s="21"/>
      <c r="CK57" s="21"/>
      <c r="CL57" s="21"/>
      <c r="CM57" s="21"/>
      <c r="CN57" s="21"/>
      <c r="CO57" s="21"/>
      <c r="CP57" s="21"/>
      <c r="CQ57" s="21"/>
      <c r="CR57" s="21"/>
      <c r="CS57" s="21"/>
      <c r="CT57" s="21"/>
      <c r="CU57" s="21"/>
      <c r="CV57" s="21"/>
      <c r="CW57" s="21"/>
      <c r="CX57" s="21">
        <f>+'[1]Acuerdo PLAN INVERSIÓN 2021'!$X$4451</f>
        <v>19407971</v>
      </c>
      <c r="CY57" s="21">
        <f>+'[3]Acuerdo PLAN INVERSIÓN 2021'!$Y$2922</f>
        <v>8500000</v>
      </c>
      <c r="CZ57" s="21"/>
      <c r="DA57" s="21"/>
      <c r="DB57" s="21"/>
      <c r="DC57" s="21"/>
      <c r="DD57" s="23">
        <f t="shared" si="8"/>
        <v>7.5418471337579396E-3</v>
      </c>
      <c r="DE57" s="21">
        <f t="shared" si="45"/>
        <v>592035</v>
      </c>
      <c r="DF57" s="21">
        <f t="shared" si="46"/>
        <v>0</v>
      </c>
      <c r="DG57" s="21">
        <f t="shared" si="46"/>
        <v>6</v>
      </c>
      <c r="DH57" s="21">
        <f t="shared" si="46"/>
        <v>0</v>
      </c>
      <c r="DI57" s="21">
        <f t="shared" si="46"/>
        <v>0</v>
      </c>
      <c r="DJ57" s="21">
        <f t="shared" si="46"/>
        <v>0</v>
      </c>
      <c r="DK57" s="21">
        <f t="shared" si="46"/>
        <v>0</v>
      </c>
      <c r="DL57" s="21">
        <f t="shared" si="46"/>
        <v>0</v>
      </c>
      <c r="DM57" s="21">
        <f t="shared" si="46"/>
        <v>0</v>
      </c>
      <c r="DN57" s="21">
        <f t="shared" si="46"/>
        <v>0</v>
      </c>
      <c r="DO57" s="21">
        <f t="shared" si="46"/>
        <v>0</v>
      </c>
      <c r="DP57" s="21">
        <f t="shared" si="46"/>
        <v>0</v>
      </c>
      <c r="DQ57" s="21">
        <f t="shared" si="46"/>
        <v>0</v>
      </c>
      <c r="DR57" s="21">
        <f t="shared" si="46"/>
        <v>0</v>
      </c>
      <c r="DS57" s="21">
        <f t="shared" si="46"/>
        <v>0</v>
      </c>
      <c r="DT57" s="21">
        <f t="shared" si="46"/>
        <v>0</v>
      </c>
      <c r="DU57" s="21">
        <f t="shared" si="46"/>
        <v>0</v>
      </c>
      <c r="DV57" s="21">
        <f t="shared" si="47"/>
        <v>0</v>
      </c>
      <c r="DW57" s="21">
        <f t="shared" si="47"/>
        <v>592029</v>
      </c>
      <c r="DX57" s="21">
        <f t="shared" si="47"/>
        <v>0</v>
      </c>
      <c r="DY57" s="21">
        <f t="shared" si="47"/>
        <v>0</v>
      </c>
      <c r="DZ57" s="21">
        <f t="shared" si="47"/>
        <v>0</v>
      </c>
      <c r="EA57" s="21">
        <f t="shared" si="47"/>
        <v>0</v>
      </c>
      <c r="EB57" s="21">
        <f t="shared" si="47"/>
        <v>0</v>
      </c>
      <c r="EE57" s="39">
        <f t="shared" si="29"/>
        <v>78500000</v>
      </c>
      <c r="EF57" s="39">
        <f t="shared" si="30"/>
        <v>77907965</v>
      </c>
    </row>
    <row r="58" spans="1:137" ht="42.75" hidden="1" customHeight="1" x14ac:dyDescent="0.25">
      <c r="A58" s="175"/>
      <c r="B58" s="172"/>
      <c r="C58" s="33" t="s">
        <v>190</v>
      </c>
      <c r="D58" s="18" t="s">
        <v>191</v>
      </c>
      <c r="E58" s="19">
        <v>520</v>
      </c>
      <c r="F58" s="20" t="s">
        <v>105</v>
      </c>
      <c r="G58" s="21">
        <f t="shared" si="39"/>
        <v>25222055</v>
      </c>
      <c r="H58" s="22">
        <v>120606750</v>
      </c>
      <c r="I58" s="22">
        <f t="shared" si="48"/>
        <v>95384695</v>
      </c>
      <c r="J58" s="21"/>
      <c r="K58" s="21">
        <f>30000000-4777945</f>
        <v>25222055</v>
      </c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  <c r="AE58" s="21"/>
      <c r="AF58" s="21"/>
      <c r="AG58" s="23">
        <f t="shared" si="1"/>
        <v>0.99712097210159922</v>
      </c>
      <c r="AH58" s="21">
        <f t="shared" si="40"/>
        <v>25149440</v>
      </c>
      <c r="AI58" s="21"/>
      <c r="AJ58" s="21">
        <f>+'[1]Acuerdo PLAN INVERSIÓN 2021'!$J$4481</f>
        <v>25149440</v>
      </c>
      <c r="AK58" s="21"/>
      <c r="AL58" s="21"/>
      <c r="AM58" s="21"/>
      <c r="AN58" s="21"/>
      <c r="AO58" s="21"/>
      <c r="AP58" s="21"/>
      <c r="AQ58" s="21"/>
      <c r="AR58" s="21"/>
      <c r="AS58" s="21"/>
      <c r="AT58" s="21"/>
      <c r="AU58" s="21"/>
      <c r="AV58" s="21"/>
      <c r="AW58" s="21"/>
      <c r="AX58" s="21"/>
      <c r="AY58" s="21"/>
      <c r="AZ58" s="21"/>
      <c r="BA58" s="21"/>
      <c r="BB58" s="21"/>
      <c r="BC58" s="21"/>
      <c r="BD58" s="21"/>
      <c r="BE58" s="21"/>
      <c r="BF58" s="23">
        <f t="shared" si="12"/>
        <v>2.8790278984007767E-3</v>
      </c>
      <c r="BG58" s="21">
        <f t="shared" si="41"/>
        <v>72615</v>
      </c>
      <c r="BH58" s="21">
        <f t="shared" si="42"/>
        <v>0</v>
      </c>
      <c r="BI58" s="21">
        <f t="shared" si="42"/>
        <v>72615</v>
      </c>
      <c r="BJ58" s="21">
        <f t="shared" si="42"/>
        <v>0</v>
      </c>
      <c r="BK58" s="21">
        <f t="shared" si="42"/>
        <v>0</v>
      </c>
      <c r="BL58" s="21">
        <f t="shared" si="42"/>
        <v>0</v>
      </c>
      <c r="BM58" s="21">
        <f t="shared" si="42"/>
        <v>0</v>
      </c>
      <c r="BN58" s="21">
        <f t="shared" si="42"/>
        <v>0</v>
      </c>
      <c r="BO58" s="21">
        <f t="shared" si="42"/>
        <v>0</v>
      </c>
      <c r="BP58" s="21">
        <f t="shared" si="42"/>
        <v>0</v>
      </c>
      <c r="BQ58" s="21">
        <f t="shared" si="42"/>
        <v>0</v>
      </c>
      <c r="BR58" s="21">
        <f t="shared" si="42"/>
        <v>0</v>
      </c>
      <c r="BS58" s="21">
        <f t="shared" si="42"/>
        <v>0</v>
      </c>
      <c r="BT58" s="21">
        <f t="shared" si="42"/>
        <v>0</v>
      </c>
      <c r="BU58" s="21">
        <f t="shared" si="42"/>
        <v>0</v>
      </c>
      <c r="BV58" s="21">
        <f t="shared" si="42"/>
        <v>0</v>
      </c>
      <c r="BW58" s="21">
        <f t="shared" si="42"/>
        <v>0</v>
      </c>
      <c r="BX58" s="21">
        <f t="shared" si="43"/>
        <v>0</v>
      </c>
      <c r="BY58" s="21">
        <f t="shared" si="43"/>
        <v>0</v>
      </c>
      <c r="BZ58" s="21">
        <f t="shared" si="43"/>
        <v>0</v>
      </c>
      <c r="CA58" s="21">
        <f t="shared" si="43"/>
        <v>0</v>
      </c>
      <c r="CB58" s="21">
        <f t="shared" si="43"/>
        <v>0</v>
      </c>
      <c r="CC58" s="21">
        <f t="shared" si="43"/>
        <v>0</v>
      </c>
      <c r="CD58" s="21">
        <f t="shared" si="43"/>
        <v>0</v>
      </c>
      <c r="CE58" s="23">
        <f t="shared" si="6"/>
        <v>0.99712097210159922</v>
      </c>
      <c r="CF58" s="21">
        <f t="shared" si="44"/>
        <v>25149440</v>
      </c>
      <c r="CG58" s="21"/>
      <c r="CH58" s="21">
        <f>+'[2]Acuerdo PLAN INVERSIÓN 2021'!$H$2129+'[2]Acuerdo PLAN INVERSIÓN 2021'!$H$2132</f>
        <v>25149440</v>
      </c>
      <c r="CI58" s="21"/>
      <c r="CJ58" s="21"/>
      <c r="CK58" s="21"/>
      <c r="CL58" s="21"/>
      <c r="CM58" s="21"/>
      <c r="CN58" s="21"/>
      <c r="CO58" s="21"/>
      <c r="CP58" s="21"/>
      <c r="CQ58" s="21"/>
      <c r="CR58" s="21"/>
      <c r="CS58" s="21"/>
      <c r="CT58" s="21"/>
      <c r="CU58" s="21"/>
      <c r="CV58" s="21"/>
      <c r="CW58" s="21"/>
      <c r="CX58" s="21"/>
      <c r="CY58" s="21"/>
      <c r="CZ58" s="21"/>
      <c r="DA58" s="21"/>
      <c r="DB58" s="21"/>
      <c r="DC58" s="21"/>
      <c r="DD58" s="23">
        <f t="shared" si="8"/>
        <v>2.8790278984007767E-3</v>
      </c>
      <c r="DE58" s="21">
        <f t="shared" si="45"/>
        <v>72615</v>
      </c>
      <c r="DF58" s="21">
        <f t="shared" si="46"/>
        <v>0</v>
      </c>
      <c r="DG58" s="21">
        <f t="shared" si="46"/>
        <v>72615</v>
      </c>
      <c r="DH58" s="21">
        <f t="shared" si="46"/>
        <v>0</v>
      </c>
      <c r="DI58" s="21">
        <f t="shared" si="46"/>
        <v>0</v>
      </c>
      <c r="DJ58" s="21">
        <f t="shared" si="46"/>
        <v>0</v>
      </c>
      <c r="DK58" s="21">
        <f t="shared" si="46"/>
        <v>0</v>
      </c>
      <c r="DL58" s="21">
        <f t="shared" si="46"/>
        <v>0</v>
      </c>
      <c r="DM58" s="21">
        <f t="shared" si="46"/>
        <v>0</v>
      </c>
      <c r="DN58" s="21">
        <f t="shared" si="46"/>
        <v>0</v>
      </c>
      <c r="DO58" s="21">
        <f t="shared" si="46"/>
        <v>0</v>
      </c>
      <c r="DP58" s="21">
        <f t="shared" si="46"/>
        <v>0</v>
      </c>
      <c r="DQ58" s="21">
        <f t="shared" si="46"/>
        <v>0</v>
      </c>
      <c r="DR58" s="21">
        <f t="shared" si="46"/>
        <v>0</v>
      </c>
      <c r="DS58" s="21">
        <f t="shared" si="46"/>
        <v>0</v>
      </c>
      <c r="DT58" s="21">
        <f t="shared" si="46"/>
        <v>0</v>
      </c>
      <c r="DU58" s="21">
        <f t="shared" si="46"/>
        <v>0</v>
      </c>
      <c r="DV58" s="21">
        <f t="shared" si="47"/>
        <v>0</v>
      </c>
      <c r="DW58" s="21">
        <f t="shared" si="47"/>
        <v>0</v>
      </c>
      <c r="DX58" s="21">
        <f t="shared" si="47"/>
        <v>0</v>
      </c>
      <c r="DY58" s="21">
        <f t="shared" si="47"/>
        <v>0</v>
      </c>
      <c r="DZ58" s="21">
        <f t="shared" si="47"/>
        <v>0</v>
      </c>
      <c r="EA58" s="21">
        <f t="shared" si="47"/>
        <v>0</v>
      </c>
      <c r="EB58" s="21">
        <f t="shared" si="47"/>
        <v>0</v>
      </c>
      <c r="EE58" s="39">
        <f t="shared" si="29"/>
        <v>25222055</v>
      </c>
      <c r="EF58" s="39">
        <f t="shared" si="30"/>
        <v>25149440</v>
      </c>
    </row>
    <row r="59" spans="1:137" ht="35.4" hidden="1" customHeight="1" x14ac:dyDescent="0.25">
      <c r="A59" s="175"/>
      <c r="B59" s="172"/>
      <c r="C59" s="33" t="s">
        <v>192</v>
      </c>
      <c r="D59" s="18" t="s">
        <v>193</v>
      </c>
      <c r="E59" s="19">
        <v>520</v>
      </c>
      <c r="F59" s="20" t="s">
        <v>105</v>
      </c>
      <c r="G59" s="21">
        <f t="shared" si="39"/>
        <v>45000000</v>
      </c>
      <c r="H59" s="22">
        <v>57321000</v>
      </c>
      <c r="I59" s="22">
        <f t="shared" si="48"/>
        <v>12321000</v>
      </c>
      <c r="J59" s="21"/>
      <c r="K59" s="21">
        <f>20000000+15000000</f>
        <v>35000000</v>
      </c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>
        <f>10000000</f>
        <v>10000000</v>
      </c>
      <c r="AB59" s="21"/>
      <c r="AC59" s="21"/>
      <c r="AD59" s="21"/>
      <c r="AE59" s="21"/>
      <c r="AF59" s="21"/>
      <c r="AG59" s="23">
        <f t="shared" si="1"/>
        <v>0.97834746666666672</v>
      </c>
      <c r="AH59" s="21">
        <f t="shared" si="40"/>
        <v>44025636</v>
      </c>
      <c r="AI59" s="21"/>
      <c r="AJ59" s="21">
        <f>+'[1]Acuerdo PLAN INVERSIÓN 2021'!$J$4490</f>
        <v>34030584</v>
      </c>
      <c r="AK59" s="21"/>
      <c r="AL59" s="21"/>
      <c r="AM59" s="21"/>
      <c r="AN59" s="21"/>
      <c r="AO59" s="21"/>
      <c r="AP59" s="21"/>
      <c r="AQ59" s="21"/>
      <c r="AR59" s="21"/>
      <c r="AS59" s="21"/>
      <c r="AT59" s="21"/>
      <c r="AU59" s="21"/>
      <c r="AV59" s="21"/>
      <c r="AW59" s="21"/>
      <c r="AX59" s="21"/>
      <c r="AY59" s="21"/>
      <c r="AZ59" s="21">
        <f>+'[1]Acuerdo PLAN INVERSIÓN 2021'!$X$4490</f>
        <v>9995052</v>
      </c>
      <c r="BA59" s="21"/>
      <c r="BB59" s="21"/>
      <c r="BC59" s="21"/>
      <c r="BD59" s="21"/>
      <c r="BE59" s="21"/>
      <c r="BF59" s="23">
        <f t="shared" si="12"/>
        <v>2.1652533333333279E-2</v>
      </c>
      <c r="BG59" s="21">
        <f t="shared" si="41"/>
        <v>974364</v>
      </c>
      <c r="BH59" s="21">
        <f t="shared" si="42"/>
        <v>0</v>
      </c>
      <c r="BI59" s="21">
        <f t="shared" si="42"/>
        <v>969416</v>
      </c>
      <c r="BJ59" s="21">
        <f t="shared" si="42"/>
        <v>0</v>
      </c>
      <c r="BK59" s="21">
        <f t="shared" si="42"/>
        <v>0</v>
      </c>
      <c r="BL59" s="21">
        <f t="shared" si="42"/>
        <v>0</v>
      </c>
      <c r="BM59" s="21">
        <f t="shared" si="42"/>
        <v>0</v>
      </c>
      <c r="BN59" s="21">
        <f t="shared" si="42"/>
        <v>0</v>
      </c>
      <c r="BO59" s="21">
        <f t="shared" si="42"/>
        <v>0</v>
      </c>
      <c r="BP59" s="21">
        <f t="shared" si="42"/>
        <v>0</v>
      </c>
      <c r="BQ59" s="21">
        <f t="shared" si="42"/>
        <v>0</v>
      </c>
      <c r="BR59" s="21">
        <f t="shared" si="42"/>
        <v>0</v>
      </c>
      <c r="BS59" s="21">
        <f t="shared" si="42"/>
        <v>0</v>
      </c>
      <c r="BT59" s="21">
        <f t="shared" si="42"/>
        <v>0</v>
      </c>
      <c r="BU59" s="21">
        <f t="shared" si="42"/>
        <v>0</v>
      </c>
      <c r="BV59" s="21">
        <f t="shared" si="42"/>
        <v>0</v>
      </c>
      <c r="BW59" s="21">
        <f t="shared" si="42"/>
        <v>0</v>
      </c>
      <c r="BX59" s="21">
        <f t="shared" si="43"/>
        <v>0</v>
      </c>
      <c r="BY59" s="21">
        <f t="shared" si="43"/>
        <v>4948</v>
      </c>
      <c r="BZ59" s="21">
        <f t="shared" si="43"/>
        <v>0</v>
      </c>
      <c r="CA59" s="21">
        <f t="shared" si="43"/>
        <v>0</v>
      </c>
      <c r="CB59" s="21">
        <f t="shared" si="43"/>
        <v>0</v>
      </c>
      <c r="CC59" s="21">
        <f t="shared" si="43"/>
        <v>0</v>
      </c>
      <c r="CD59" s="21">
        <f t="shared" si="43"/>
        <v>0</v>
      </c>
      <c r="CE59" s="23">
        <f t="shared" si="6"/>
        <v>0.97834746666666672</v>
      </c>
      <c r="CF59" s="21">
        <f t="shared" si="44"/>
        <v>44025636</v>
      </c>
      <c r="CG59" s="21"/>
      <c r="CH59" s="21">
        <f>+'[2]Acuerdo PLAN INVERSIÓN 2021'!$H$2139+'[2]Acuerdo PLAN INVERSIÓN 2021'!$H$2148+'[2]Acuerdo PLAN INVERSIÓN 2021'!$H$2151+'[2]Acuerdo PLAN INVERSIÓN 2021'!$H$2157</f>
        <v>34030584</v>
      </c>
      <c r="CI59" s="21"/>
      <c r="CJ59" s="21"/>
      <c r="CK59" s="21"/>
      <c r="CL59" s="21"/>
      <c r="CM59" s="21"/>
      <c r="CN59" s="21"/>
      <c r="CO59" s="21"/>
      <c r="CP59" s="21"/>
      <c r="CQ59" s="21"/>
      <c r="CR59" s="21"/>
      <c r="CS59" s="21"/>
      <c r="CT59" s="21"/>
      <c r="CU59" s="21"/>
      <c r="CV59" s="21"/>
      <c r="CW59" s="21"/>
      <c r="CX59" s="21">
        <f>+'[2]Acuerdo PLAN INVERSIÓN 2021'!$H$2154</f>
        <v>9995052</v>
      </c>
      <c r="CY59" s="21"/>
      <c r="CZ59" s="21"/>
      <c r="DA59" s="21"/>
      <c r="DB59" s="21"/>
      <c r="DC59" s="21"/>
      <c r="DD59" s="23">
        <f t="shared" si="8"/>
        <v>2.1652533333333279E-2</v>
      </c>
      <c r="DE59" s="21">
        <f t="shared" si="45"/>
        <v>974364</v>
      </c>
      <c r="DF59" s="21">
        <f t="shared" si="46"/>
        <v>0</v>
      </c>
      <c r="DG59" s="21">
        <f t="shared" si="46"/>
        <v>969416</v>
      </c>
      <c r="DH59" s="21">
        <f t="shared" si="46"/>
        <v>0</v>
      </c>
      <c r="DI59" s="21">
        <f t="shared" si="46"/>
        <v>0</v>
      </c>
      <c r="DJ59" s="21">
        <f t="shared" si="46"/>
        <v>0</v>
      </c>
      <c r="DK59" s="21">
        <f t="shared" si="46"/>
        <v>0</v>
      </c>
      <c r="DL59" s="21">
        <f t="shared" si="46"/>
        <v>0</v>
      </c>
      <c r="DM59" s="21">
        <f t="shared" si="46"/>
        <v>0</v>
      </c>
      <c r="DN59" s="21">
        <f t="shared" si="46"/>
        <v>0</v>
      </c>
      <c r="DO59" s="21">
        <f t="shared" si="46"/>
        <v>0</v>
      </c>
      <c r="DP59" s="21">
        <f t="shared" si="46"/>
        <v>0</v>
      </c>
      <c r="DQ59" s="21">
        <f t="shared" si="46"/>
        <v>0</v>
      </c>
      <c r="DR59" s="21">
        <f t="shared" si="46"/>
        <v>0</v>
      </c>
      <c r="DS59" s="21">
        <f t="shared" si="46"/>
        <v>0</v>
      </c>
      <c r="DT59" s="21">
        <f t="shared" si="46"/>
        <v>0</v>
      </c>
      <c r="DU59" s="21">
        <f t="shared" si="46"/>
        <v>0</v>
      </c>
      <c r="DV59" s="21">
        <f t="shared" si="47"/>
        <v>0</v>
      </c>
      <c r="DW59" s="21">
        <f t="shared" si="47"/>
        <v>4948</v>
      </c>
      <c r="DX59" s="21">
        <f t="shared" si="47"/>
        <v>0</v>
      </c>
      <c r="DY59" s="21">
        <f t="shared" si="47"/>
        <v>0</v>
      </c>
      <c r="DZ59" s="21">
        <f t="shared" si="47"/>
        <v>0</v>
      </c>
      <c r="EA59" s="21">
        <f t="shared" si="47"/>
        <v>0</v>
      </c>
      <c r="EB59" s="21">
        <f t="shared" si="47"/>
        <v>0</v>
      </c>
      <c r="EE59" s="39">
        <f t="shared" si="29"/>
        <v>45000000</v>
      </c>
      <c r="EF59" s="39">
        <f t="shared" si="30"/>
        <v>44025636</v>
      </c>
    </row>
    <row r="60" spans="1:137" ht="59.25" hidden="1" customHeight="1" x14ac:dyDescent="0.25">
      <c r="A60" s="175"/>
      <c r="B60" s="172"/>
      <c r="C60" s="33" t="s">
        <v>194</v>
      </c>
      <c r="D60" s="18" t="s">
        <v>195</v>
      </c>
      <c r="E60" s="19">
        <v>520</v>
      </c>
      <c r="F60" s="20" t="s">
        <v>105</v>
      </c>
      <c r="G60" s="21">
        <f t="shared" si="39"/>
        <v>14041500</v>
      </c>
      <c r="H60" s="22">
        <v>108432000</v>
      </c>
      <c r="I60" s="22">
        <f t="shared" si="48"/>
        <v>94390500</v>
      </c>
      <c r="J60" s="21"/>
      <c r="K60" s="21">
        <f>20000000-5958500</f>
        <v>14041500</v>
      </c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  <c r="AA60" s="21"/>
      <c r="AB60" s="21"/>
      <c r="AC60" s="21"/>
      <c r="AD60" s="21"/>
      <c r="AE60" s="21"/>
      <c r="AF60" s="21"/>
      <c r="AG60" s="23">
        <f t="shared" si="1"/>
        <v>0.99999992878253752</v>
      </c>
      <c r="AH60" s="21">
        <f t="shared" si="40"/>
        <v>14041499</v>
      </c>
      <c r="AI60" s="21"/>
      <c r="AJ60" s="21">
        <f>+'[1]Acuerdo PLAN INVERSIÓN 2021'!$J$4515</f>
        <v>14041499</v>
      </c>
      <c r="AK60" s="21"/>
      <c r="AL60" s="21"/>
      <c r="AM60" s="21"/>
      <c r="AN60" s="21"/>
      <c r="AO60" s="21"/>
      <c r="AP60" s="21"/>
      <c r="AQ60" s="21"/>
      <c r="AR60" s="21"/>
      <c r="AS60" s="21"/>
      <c r="AT60" s="21"/>
      <c r="AU60" s="21"/>
      <c r="AV60" s="21"/>
      <c r="AW60" s="21"/>
      <c r="AX60" s="21"/>
      <c r="AY60" s="21"/>
      <c r="AZ60" s="21"/>
      <c r="BA60" s="21"/>
      <c r="BB60" s="21"/>
      <c r="BC60" s="21"/>
      <c r="BD60" s="21"/>
      <c r="BE60" s="21"/>
      <c r="BF60" s="23">
        <f t="shared" si="12"/>
        <v>7.1217462482842109E-8</v>
      </c>
      <c r="BG60" s="21">
        <f t="shared" si="41"/>
        <v>1</v>
      </c>
      <c r="BH60" s="21">
        <f t="shared" si="42"/>
        <v>0</v>
      </c>
      <c r="BI60" s="21">
        <f t="shared" si="42"/>
        <v>1</v>
      </c>
      <c r="BJ60" s="21">
        <f t="shared" si="42"/>
        <v>0</v>
      </c>
      <c r="BK60" s="21">
        <f t="shared" si="42"/>
        <v>0</v>
      </c>
      <c r="BL60" s="21">
        <f t="shared" si="42"/>
        <v>0</v>
      </c>
      <c r="BM60" s="21">
        <f t="shared" si="42"/>
        <v>0</v>
      </c>
      <c r="BN60" s="21">
        <f t="shared" si="42"/>
        <v>0</v>
      </c>
      <c r="BO60" s="21">
        <f t="shared" si="42"/>
        <v>0</v>
      </c>
      <c r="BP60" s="21">
        <f t="shared" si="42"/>
        <v>0</v>
      </c>
      <c r="BQ60" s="21">
        <f t="shared" si="42"/>
        <v>0</v>
      </c>
      <c r="BR60" s="21">
        <f t="shared" si="42"/>
        <v>0</v>
      </c>
      <c r="BS60" s="21">
        <f t="shared" si="42"/>
        <v>0</v>
      </c>
      <c r="BT60" s="21">
        <f t="shared" si="42"/>
        <v>0</v>
      </c>
      <c r="BU60" s="21">
        <f t="shared" si="42"/>
        <v>0</v>
      </c>
      <c r="BV60" s="21">
        <f t="shared" si="42"/>
        <v>0</v>
      </c>
      <c r="BW60" s="21">
        <f t="shared" si="42"/>
        <v>0</v>
      </c>
      <c r="BX60" s="21">
        <f t="shared" si="43"/>
        <v>0</v>
      </c>
      <c r="BY60" s="21">
        <f t="shared" si="43"/>
        <v>0</v>
      </c>
      <c r="BZ60" s="21">
        <f t="shared" si="43"/>
        <v>0</v>
      </c>
      <c r="CA60" s="21">
        <f t="shared" si="43"/>
        <v>0</v>
      </c>
      <c r="CB60" s="21">
        <f t="shared" si="43"/>
        <v>0</v>
      </c>
      <c r="CC60" s="21">
        <f t="shared" si="43"/>
        <v>0</v>
      </c>
      <c r="CD60" s="21">
        <f t="shared" si="43"/>
        <v>0</v>
      </c>
      <c r="CE60" s="23">
        <f t="shared" si="6"/>
        <v>0.99999992878253752</v>
      </c>
      <c r="CF60" s="21">
        <f t="shared" si="44"/>
        <v>14041499</v>
      </c>
      <c r="CG60" s="21"/>
      <c r="CH60" s="21">
        <f>+'[9]Acuerdo PLAN INVERSIÓN 2021'!$H$545</f>
        <v>14041499</v>
      </c>
      <c r="CI60" s="21"/>
      <c r="CJ60" s="21"/>
      <c r="CK60" s="21"/>
      <c r="CL60" s="21"/>
      <c r="CM60" s="21"/>
      <c r="CN60" s="21"/>
      <c r="CO60" s="21"/>
      <c r="CP60" s="21"/>
      <c r="CQ60" s="21"/>
      <c r="CR60" s="21"/>
      <c r="CS60" s="21"/>
      <c r="CT60" s="21"/>
      <c r="CU60" s="21"/>
      <c r="CV60" s="21"/>
      <c r="CW60" s="21"/>
      <c r="CX60" s="21"/>
      <c r="CY60" s="21"/>
      <c r="CZ60" s="21"/>
      <c r="DA60" s="21"/>
      <c r="DB60" s="21"/>
      <c r="DC60" s="21"/>
      <c r="DD60" s="23">
        <f t="shared" si="8"/>
        <v>7.1217462482842109E-8</v>
      </c>
      <c r="DE60" s="21">
        <f t="shared" si="45"/>
        <v>1</v>
      </c>
      <c r="DF60" s="21">
        <f t="shared" si="46"/>
        <v>0</v>
      </c>
      <c r="DG60" s="21">
        <f t="shared" si="46"/>
        <v>1</v>
      </c>
      <c r="DH60" s="21">
        <f t="shared" si="46"/>
        <v>0</v>
      </c>
      <c r="DI60" s="21">
        <f t="shared" si="46"/>
        <v>0</v>
      </c>
      <c r="DJ60" s="21">
        <f t="shared" si="46"/>
        <v>0</v>
      </c>
      <c r="DK60" s="21">
        <f t="shared" si="46"/>
        <v>0</v>
      </c>
      <c r="DL60" s="21">
        <f t="shared" si="46"/>
        <v>0</v>
      </c>
      <c r="DM60" s="21">
        <f t="shared" si="46"/>
        <v>0</v>
      </c>
      <c r="DN60" s="21">
        <f t="shared" si="46"/>
        <v>0</v>
      </c>
      <c r="DO60" s="21">
        <f t="shared" si="46"/>
        <v>0</v>
      </c>
      <c r="DP60" s="21">
        <f t="shared" si="46"/>
        <v>0</v>
      </c>
      <c r="DQ60" s="21">
        <f t="shared" si="46"/>
        <v>0</v>
      </c>
      <c r="DR60" s="21">
        <f t="shared" si="46"/>
        <v>0</v>
      </c>
      <c r="DS60" s="21">
        <f t="shared" si="46"/>
        <v>0</v>
      </c>
      <c r="DT60" s="21">
        <f t="shared" si="46"/>
        <v>0</v>
      </c>
      <c r="DU60" s="21">
        <f t="shared" si="46"/>
        <v>0</v>
      </c>
      <c r="DV60" s="21">
        <f t="shared" si="47"/>
        <v>0</v>
      </c>
      <c r="DW60" s="21">
        <f t="shared" si="47"/>
        <v>0</v>
      </c>
      <c r="DX60" s="21">
        <f t="shared" si="47"/>
        <v>0</v>
      </c>
      <c r="DY60" s="21">
        <f t="shared" si="47"/>
        <v>0</v>
      </c>
      <c r="DZ60" s="21">
        <f t="shared" si="47"/>
        <v>0</v>
      </c>
      <c r="EA60" s="21">
        <f t="shared" si="47"/>
        <v>0</v>
      </c>
      <c r="EB60" s="21">
        <f t="shared" si="47"/>
        <v>0</v>
      </c>
      <c r="EE60" s="39">
        <f t="shared" si="29"/>
        <v>14041500</v>
      </c>
      <c r="EF60" s="39">
        <f t="shared" si="30"/>
        <v>14041499</v>
      </c>
    </row>
    <row r="61" spans="1:137" ht="23.25" hidden="1" customHeight="1" x14ac:dyDescent="0.25">
      <c r="A61" s="175"/>
      <c r="B61" s="172"/>
      <c r="C61" s="33" t="s">
        <v>196</v>
      </c>
      <c r="D61" s="18" t="s">
        <v>197</v>
      </c>
      <c r="E61" s="19">
        <v>520</v>
      </c>
      <c r="F61" s="20" t="s">
        <v>105</v>
      </c>
      <c r="G61" s="21">
        <f t="shared" si="39"/>
        <v>70000000</v>
      </c>
      <c r="H61" s="22">
        <v>85000000</v>
      </c>
      <c r="I61" s="22">
        <f t="shared" si="48"/>
        <v>15000000</v>
      </c>
      <c r="J61" s="21"/>
      <c r="K61" s="21">
        <f>30000000+10000000</f>
        <v>40000000</v>
      </c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>
        <f>10000000</f>
        <v>10000000</v>
      </c>
      <c r="AB61" s="21">
        <f>20000000</f>
        <v>20000000</v>
      </c>
      <c r="AC61" s="21"/>
      <c r="AD61" s="21"/>
      <c r="AE61" s="21"/>
      <c r="AF61" s="21"/>
      <c r="AG61" s="23">
        <f t="shared" si="1"/>
        <v>0.86602494285714282</v>
      </c>
      <c r="AH61" s="21">
        <f t="shared" si="40"/>
        <v>60621746</v>
      </c>
      <c r="AI61" s="21"/>
      <c r="AJ61" s="21">
        <f>+'[1]Acuerdo PLAN INVERSIÓN 2021'!$J$4521</f>
        <v>39875662</v>
      </c>
      <c r="AK61" s="21"/>
      <c r="AL61" s="21"/>
      <c r="AM61" s="21"/>
      <c r="AN61" s="21"/>
      <c r="AO61" s="21"/>
      <c r="AP61" s="21"/>
      <c r="AQ61" s="21"/>
      <c r="AR61" s="21"/>
      <c r="AS61" s="21"/>
      <c r="AT61" s="21"/>
      <c r="AU61" s="21"/>
      <c r="AV61" s="21"/>
      <c r="AW61" s="21"/>
      <c r="AX61" s="21"/>
      <c r="AY61" s="21"/>
      <c r="AZ61" s="21">
        <f>+'[1]Acuerdo PLAN INVERSIÓN 2021'!$X$4521</f>
        <v>4999999</v>
      </c>
      <c r="BA61" s="21">
        <f>+'[1]Acuerdo PLAN INVERSIÓN 2021'!$Y$4521</f>
        <v>15746085</v>
      </c>
      <c r="BB61" s="21"/>
      <c r="BC61" s="21"/>
      <c r="BD61" s="21"/>
      <c r="BE61" s="21"/>
      <c r="BF61" s="23">
        <f t="shared" si="12"/>
        <v>0.13397505714285718</v>
      </c>
      <c r="BG61" s="21">
        <f t="shared" si="41"/>
        <v>9378254</v>
      </c>
      <c r="BH61" s="21">
        <f t="shared" si="42"/>
        <v>0</v>
      </c>
      <c r="BI61" s="21">
        <f t="shared" si="42"/>
        <v>124338</v>
      </c>
      <c r="BJ61" s="21">
        <f t="shared" si="42"/>
        <v>0</v>
      </c>
      <c r="BK61" s="21">
        <f t="shared" si="42"/>
        <v>0</v>
      </c>
      <c r="BL61" s="21">
        <f t="shared" si="42"/>
        <v>0</v>
      </c>
      <c r="BM61" s="21">
        <f t="shared" si="42"/>
        <v>0</v>
      </c>
      <c r="BN61" s="21">
        <f t="shared" si="42"/>
        <v>0</v>
      </c>
      <c r="BO61" s="21">
        <f t="shared" si="42"/>
        <v>0</v>
      </c>
      <c r="BP61" s="21">
        <f t="shared" si="42"/>
        <v>0</v>
      </c>
      <c r="BQ61" s="21">
        <f t="shared" si="42"/>
        <v>0</v>
      </c>
      <c r="BR61" s="21">
        <f t="shared" si="42"/>
        <v>0</v>
      </c>
      <c r="BS61" s="21">
        <f t="shared" si="42"/>
        <v>0</v>
      </c>
      <c r="BT61" s="21">
        <f t="shared" si="42"/>
        <v>0</v>
      </c>
      <c r="BU61" s="21">
        <f t="shared" si="42"/>
        <v>0</v>
      </c>
      <c r="BV61" s="21">
        <f t="shared" si="42"/>
        <v>0</v>
      </c>
      <c r="BW61" s="21">
        <f t="shared" si="42"/>
        <v>0</v>
      </c>
      <c r="BX61" s="21">
        <f t="shared" si="43"/>
        <v>0</v>
      </c>
      <c r="BY61" s="21">
        <f t="shared" si="43"/>
        <v>5000001</v>
      </c>
      <c r="BZ61" s="21">
        <f t="shared" si="43"/>
        <v>4253915</v>
      </c>
      <c r="CA61" s="21">
        <f t="shared" si="43"/>
        <v>0</v>
      </c>
      <c r="CB61" s="21">
        <f t="shared" si="43"/>
        <v>0</v>
      </c>
      <c r="CC61" s="21">
        <f t="shared" si="43"/>
        <v>0</v>
      </c>
      <c r="CD61" s="21">
        <f t="shared" si="43"/>
        <v>0</v>
      </c>
      <c r="CE61" s="23">
        <f t="shared" si="6"/>
        <v>0.86602494285714282</v>
      </c>
      <c r="CF61" s="21">
        <f t="shared" si="44"/>
        <v>60621746</v>
      </c>
      <c r="CG61" s="21"/>
      <c r="CH61" s="21">
        <f>+'[1]Acuerdo PLAN INVERSIÓN 2021'!$J$4521</f>
        <v>39875662</v>
      </c>
      <c r="CI61" s="21"/>
      <c r="CJ61" s="21"/>
      <c r="CK61" s="21"/>
      <c r="CL61" s="21"/>
      <c r="CM61" s="21"/>
      <c r="CN61" s="21"/>
      <c r="CO61" s="21"/>
      <c r="CP61" s="21"/>
      <c r="CQ61" s="21"/>
      <c r="CR61" s="21"/>
      <c r="CS61" s="21"/>
      <c r="CT61" s="21"/>
      <c r="CU61" s="21"/>
      <c r="CV61" s="21"/>
      <c r="CW61" s="21"/>
      <c r="CX61" s="21">
        <f>+'[1]Acuerdo PLAN INVERSIÓN 2021'!$X$4521</f>
        <v>4999999</v>
      </c>
      <c r="CY61" s="21">
        <f>+'[1]Acuerdo PLAN INVERSIÓN 2021'!$Y$4521</f>
        <v>15746085</v>
      </c>
      <c r="CZ61" s="21"/>
      <c r="DA61" s="21"/>
      <c r="DB61" s="21"/>
      <c r="DC61" s="21"/>
      <c r="DD61" s="23">
        <f t="shared" si="8"/>
        <v>0.13397505714285718</v>
      </c>
      <c r="DE61" s="21">
        <f t="shared" si="45"/>
        <v>9378254</v>
      </c>
      <c r="DF61" s="21">
        <f t="shared" si="46"/>
        <v>0</v>
      </c>
      <c r="DG61" s="21">
        <f t="shared" si="46"/>
        <v>124338</v>
      </c>
      <c r="DH61" s="21">
        <f t="shared" si="46"/>
        <v>0</v>
      </c>
      <c r="DI61" s="21">
        <f t="shared" si="46"/>
        <v>0</v>
      </c>
      <c r="DJ61" s="21">
        <f t="shared" si="46"/>
        <v>0</v>
      </c>
      <c r="DK61" s="21">
        <f t="shared" si="46"/>
        <v>0</v>
      </c>
      <c r="DL61" s="21">
        <f t="shared" si="46"/>
        <v>0</v>
      </c>
      <c r="DM61" s="21">
        <f t="shared" si="46"/>
        <v>0</v>
      </c>
      <c r="DN61" s="21">
        <f t="shared" si="46"/>
        <v>0</v>
      </c>
      <c r="DO61" s="21">
        <f t="shared" si="46"/>
        <v>0</v>
      </c>
      <c r="DP61" s="21">
        <f t="shared" si="46"/>
        <v>0</v>
      </c>
      <c r="DQ61" s="21">
        <f t="shared" si="46"/>
        <v>0</v>
      </c>
      <c r="DR61" s="21">
        <f t="shared" si="46"/>
        <v>0</v>
      </c>
      <c r="DS61" s="21">
        <f t="shared" si="46"/>
        <v>0</v>
      </c>
      <c r="DT61" s="21">
        <f t="shared" si="46"/>
        <v>0</v>
      </c>
      <c r="DU61" s="21">
        <f t="shared" si="46"/>
        <v>0</v>
      </c>
      <c r="DV61" s="21">
        <f t="shared" si="47"/>
        <v>0</v>
      </c>
      <c r="DW61" s="21">
        <f t="shared" si="47"/>
        <v>5000001</v>
      </c>
      <c r="DX61" s="21">
        <f t="shared" si="47"/>
        <v>4253915</v>
      </c>
      <c r="DY61" s="21">
        <f t="shared" si="47"/>
        <v>0</v>
      </c>
      <c r="DZ61" s="21">
        <f t="shared" si="47"/>
        <v>0</v>
      </c>
      <c r="EA61" s="21">
        <f t="shared" si="47"/>
        <v>0</v>
      </c>
      <c r="EB61" s="21">
        <f t="shared" si="47"/>
        <v>0</v>
      </c>
      <c r="EE61" s="39">
        <f t="shared" si="29"/>
        <v>70000000</v>
      </c>
      <c r="EF61" s="39">
        <f t="shared" si="30"/>
        <v>60621746</v>
      </c>
    </row>
    <row r="62" spans="1:137" ht="20.25" hidden="1" customHeight="1" x14ac:dyDescent="0.25">
      <c r="A62" s="175"/>
      <c r="B62" s="172"/>
      <c r="C62" s="33" t="s">
        <v>198</v>
      </c>
      <c r="D62" s="18" t="s">
        <v>199</v>
      </c>
      <c r="E62" s="19">
        <v>520</v>
      </c>
      <c r="F62" s="20" t="s">
        <v>105</v>
      </c>
      <c r="G62" s="21">
        <f t="shared" si="39"/>
        <v>50000000</v>
      </c>
      <c r="H62" s="22">
        <v>158000000</v>
      </c>
      <c r="I62" s="22">
        <f t="shared" si="48"/>
        <v>108000000</v>
      </c>
      <c r="J62" s="21"/>
      <c r="K62" s="21">
        <f>30000000+10000000</f>
        <v>40000000</v>
      </c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>
        <f>10000000</f>
        <v>10000000</v>
      </c>
      <c r="AB62" s="21"/>
      <c r="AC62" s="21"/>
      <c r="AD62" s="21"/>
      <c r="AE62" s="21"/>
      <c r="AF62" s="21"/>
      <c r="AG62" s="23">
        <f t="shared" si="1"/>
        <v>0.98764518000000001</v>
      </c>
      <c r="AH62" s="21">
        <f t="shared" si="40"/>
        <v>49382259</v>
      </c>
      <c r="AI62" s="21"/>
      <c r="AJ62" s="21">
        <f>+'[1]Acuerdo PLAN INVERSIÓN 2021'!$J$4552</f>
        <v>39382259</v>
      </c>
      <c r="AK62" s="21"/>
      <c r="AL62" s="21"/>
      <c r="AM62" s="21"/>
      <c r="AN62" s="21"/>
      <c r="AO62" s="21"/>
      <c r="AP62" s="21"/>
      <c r="AQ62" s="21"/>
      <c r="AR62" s="21"/>
      <c r="AS62" s="21"/>
      <c r="AT62" s="21"/>
      <c r="AU62" s="21"/>
      <c r="AV62" s="21"/>
      <c r="AW62" s="21"/>
      <c r="AX62" s="21"/>
      <c r="AY62" s="21"/>
      <c r="AZ62" s="21">
        <f>+'[2]Acuerdo PLAN INVERSIÓN 2021'!$X$2184</f>
        <v>10000000</v>
      </c>
      <c r="BA62" s="21"/>
      <c r="BB62" s="21"/>
      <c r="BC62" s="21"/>
      <c r="BD62" s="21"/>
      <c r="BE62" s="21"/>
      <c r="BF62" s="23">
        <f t="shared" si="12"/>
        <v>1.2354819999999989E-2</v>
      </c>
      <c r="BG62" s="21">
        <f t="shared" si="41"/>
        <v>617741</v>
      </c>
      <c r="BH62" s="21">
        <f t="shared" si="42"/>
        <v>0</v>
      </c>
      <c r="BI62" s="21">
        <f t="shared" si="42"/>
        <v>617741</v>
      </c>
      <c r="BJ62" s="21">
        <f t="shared" si="42"/>
        <v>0</v>
      </c>
      <c r="BK62" s="21">
        <f t="shared" si="42"/>
        <v>0</v>
      </c>
      <c r="BL62" s="21">
        <f t="shared" si="42"/>
        <v>0</v>
      </c>
      <c r="BM62" s="21">
        <f t="shared" si="42"/>
        <v>0</v>
      </c>
      <c r="BN62" s="21">
        <f t="shared" si="42"/>
        <v>0</v>
      </c>
      <c r="BO62" s="21">
        <f t="shared" si="42"/>
        <v>0</v>
      </c>
      <c r="BP62" s="21">
        <f t="shared" si="42"/>
        <v>0</v>
      </c>
      <c r="BQ62" s="21">
        <f t="shared" si="42"/>
        <v>0</v>
      </c>
      <c r="BR62" s="21">
        <f t="shared" si="42"/>
        <v>0</v>
      </c>
      <c r="BS62" s="21">
        <f t="shared" si="42"/>
        <v>0</v>
      </c>
      <c r="BT62" s="21">
        <f t="shared" si="42"/>
        <v>0</v>
      </c>
      <c r="BU62" s="21">
        <f t="shared" si="42"/>
        <v>0</v>
      </c>
      <c r="BV62" s="21">
        <f t="shared" si="42"/>
        <v>0</v>
      </c>
      <c r="BW62" s="21">
        <f t="shared" si="42"/>
        <v>0</v>
      </c>
      <c r="BX62" s="21">
        <f t="shared" si="43"/>
        <v>0</v>
      </c>
      <c r="BY62" s="21">
        <f t="shared" si="43"/>
        <v>0</v>
      </c>
      <c r="BZ62" s="21">
        <f t="shared" si="43"/>
        <v>0</v>
      </c>
      <c r="CA62" s="21">
        <f t="shared" si="43"/>
        <v>0</v>
      </c>
      <c r="CB62" s="21">
        <f t="shared" si="43"/>
        <v>0</v>
      </c>
      <c r="CC62" s="21">
        <f t="shared" si="43"/>
        <v>0</v>
      </c>
      <c r="CD62" s="21">
        <f t="shared" si="43"/>
        <v>0</v>
      </c>
      <c r="CE62" s="23">
        <f t="shared" si="6"/>
        <v>0.98764518000000001</v>
      </c>
      <c r="CF62" s="21">
        <f>SUM(CG62:DC62)</f>
        <v>49382259</v>
      </c>
      <c r="CG62" s="21"/>
      <c r="CH62" s="21">
        <f>+'[1]Acuerdo PLAN INVERSIÓN 2021'!$J$4552</f>
        <v>39382259</v>
      </c>
      <c r="CI62" s="21"/>
      <c r="CJ62" s="21"/>
      <c r="CK62" s="21"/>
      <c r="CL62" s="21"/>
      <c r="CM62" s="21"/>
      <c r="CN62" s="21"/>
      <c r="CO62" s="21"/>
      <c r="CP62" s="21"/>
      <c r="CQ62" s="21"/>
      <c r="CR62" s="21"/>
      <c r="CS62" s="21"/>
      <c r="CT62" s="21"/>
      <c r="CU62" s="21"/>
      <c r="CV62" s="21"/>
      <c r="CW62" s="21"/>
      <c r="CX62" s="21">
        <f>+'[7]Acuerdo PLAN INVERSIÓN 2021'!$H$2575</f>
        <v>10000000</v>
      </c>
      <c r="CY62" s="21"/>
      <c r="CZ62" s="21"/>
      <c r="DA62" s="21"/>
      <c r="DB62" s="21"/>
      <c r="DC62" s="21"/>
      <c r="DD62" s="23">
        <f t="shared" si="8"/>
        <v>1.2354819999999989E-2</v>
      </c>
      <c r="DE62" s="21">
        <f t="shared" si="45"/>
        <v>617741</v>
      </c>
      <c r="DF62" s="21">
        <f t="shared" si="46"/>
        <v>0</v>
      </c>
      <c r="DG62" s="21">
        <f t="shared" si="46"/>
        <v>617741</v>
      </c>
      <c r="DH62" s="21">
        <f t="shared" si="46"/>
        <v>0</v>
      </c>
      <c r="DI62" s="21">
        <f t="shared" si="46"/>
        <v>0</v>
      </c>
      <c r="DJ62" s="21">
        <f t="shared" si="46"/>
        <v>0</v>
      </c>
      <c r="DK62" s="21">
        <f t="shared" si="46"/>
        <v>0</v>
      </c>
      <c r="DL62" s="21">
        <f t="shared" si="46"/>
        <v>0</v>
      </c>
      <c r="DM62" s="21">
        <f t="shared" si="46"/>
        <v>0</v>
      </c>
      <c r="DN62" s="21">
        <f t="shared" si="46"/>
        <v>0</v>
      </c>
      <c r="DO62" s="21">
        <f t="shared" si="46"/>
        <v>0</v>
      </c>
      <c r="DP62" s="21">
        <f t="shared" si="46"/>
        <v>0</v>
      </c>
      <c r="DQ62" s="21">
        <f t="shared" si="46"/>
        <v>0</v>
      </c>
      <c r="DR62" s="21">
        <f t="shared" si="46"/>
        <v>0</v>
      </c>
      <c r="DS62" s="21">
        <f t="shared" si="46"/>
        <v>0</v>
      </c>
      <c r="DT62" s="21">
        <f t="shared" si="46"/>
        <v>0</v>
      </c>
      <c r="DU62" s="21">
        <f t="shared" si="46"/>
        <v>0</v>
      </c>
      <c r="DV62" s="21">
        <f t="shared" si="47"/>
        <v>0</v>
      </c>
      <c r="DW62" s="21">
        <f t="shared" si="47"/>
        <v>0</v>
      </c>
      <c r="DX62" s="21">
        <f t="shared" si="47"/>
        <v>0</v>
      </c>
      <c r="DY62" s="21">
        <f t="shared" si="47"/>
        <v>0</v>
      </c>
      <c r="DZ62" s="21">
        <f t="shared" si="47"/>
        <v>0</v>
      </c>
      <c r="EA62" s="21">
        <f t="shared" si="47"/>
        <v>0</v>
      </c>
      <c r="EB62" s="21">
        <f t="shared" si="47"/>
        <v>0</v>
      </c>
      <c r="EE62" s="39">
        <f t="shared" si="29"/>
        <v>50000000</v>
      </c>
      <c r="EF62" s="39">
        <f t="shared" si="30"/>
        <v>49382259</v>
      </c>
    </row>
    <row r="63" spans="1:137" ht="24" hidden="1" customHeight="1" x14ac:dyDescent="0.25">
      <c r="A63" s="175"/>
      <c r="B63" s="173"/>
      <c r="C63" s="33" t="s">
        <v>200</v>
      </c>
      <c r="D63" s="18" t="s">
        <v>201</v>
      </c>
      <c r="E63" s="19">
        <v>520</v>
      </c>
      <c r="F63" s="20" t="s">
        <v>105</v>
      </c>
      <c r="G63" s="21">
        <f t="shared" si="39"/>
        <v>52834000</v>
      </c>
      <c r="H63" s="22">
        <v>0</v>
      </c>
      <c r="I63" s="22">
        <f t="shared" si="48"/>
        <v>-52834000</v>
      </c>
      <c r="J63" s="21"/>
      <c r="K63" s="21">
        <f>10000000</f>
        <v>10000000</v>
      </c>
      <c r="L63" s="21"/>
      <c r="M63" s="21"/>
      <c r="N63" s="21"/>
      <c r="O63" s="21">
        <v>20000000</v>
      </c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>
        <f>10000000</f>
        <v>10000000</v>
      </c>
      <c r="AB63" s="21">
        <f>12834000</f>
        <v>12834000</v>
      </c>
      <c r="AC63" s="21"/>
      <c r="AD63" s="21"/>
      <c r="AE63" s="21"/>
      <c r="AF63" s="21"/>
      <c r="AG63" s="23">
        <f t="shared" si="1"/>
        <v>0.91322758072453347</v>
      </c>
      <c r="AH63" s="21">
        <f t="shared" si="40"/>
        <v>48249466</v>
      </c>
      <c r="AI63" s="21"/>
      <c r="AJ63" s="21">
        <f>+'[1]Acuerdo PLAN INVERSIÓN 2021'!$J$4576</f>
        <v>9250000</v>
      </c>
      <c r="AK63" s="21"/>
      <c r="AL63" s="21"/>
      <c r="AM63" s="21"/>
      <c r="AN63" s="21">
        <f>+'[9]Acuerdo PLAN INVERSIÓN 2021'!$AC$569</f>
        <v>20000000</v>
      </c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>
        <f>+'[4]Acuerdo PLAN INVERSIÓN 2021'!$X$1811</f>
        <v>10000000</v>
      </c>
      <c r="BA63" s="21">
        <f>+'[1]Acuerdo PLAN INVERSIÓN 2021'!$Y$4576</f>
        <v>8999466</v>
      </c>
      <c r="BB63" s="21"/>
      <c r="BC63" s="21"/>
      <c r="BD63" s="21"/>
      <c r="BE63" s="21"/>
      <c r="BF63" s="23">
        <f t="shared" si="12"/>
        <v>8.6772419275466528E-2</v>
      </c>
      <c r="BG63" s="21">
        <f t="shared" si="41"/>
        <v>4584534</v>
      </c>
      <c r="BH63" s="21">
        <f t="shared" si="42"/>
        <v>0</v>
      </c>
      <c r="BI63" s="21">
        <f t="shared" si="42"/>
        <v>750000</v>
      </c>
      <c r="BJ63" s="21">
        <f t="shared" si="42"/>
        <v>0</v>
      </c>
      <c r="BK63" s="21">
        <f t="shared" si="42"/>
        <v>0</v>
      </c>
      <c r="BL63" s="21">
        <f t="shared" si="42"/>
        <v>0</v>
      </c>
      <c r="BM63" s="21">
        <f t="shared" si="42"/>
        <v>0</v>
      </c>
      <c r="BN63" s="21">
        <f t="shared" si="42"/>
        <v>0</v>
      </c>
      <c r="BO63" s="21">
        <f t="shared" si="42"/>
        <v>0</v>
      </c>
      <c r="BP63" s="21">
        <f t="shared" si="42"/>
        <v>0</v>
      </c>
      <c r="BQ63" s="21">
        <f t="shared" si="42"/>
        <v>0</v>
      </c>
      <c r="BR63" s="21">
        <f t="shared" si="42"/>
        <v>0</v>
      </c>
      <c r="BS63" s="21">
        <f t="shared" si="42"/>
        <v>0</v>
      </c>
      <c r="BT63" s="21">
        <f t="shared" si="42"/>
        <v>0</v>
      </c>
      <c r="BU63" s="21">
        <f t="shared" si="42"/>
        <v>0</v>
      </c>
      <c r="BV63" s="21">
        <f t="shared" si="42"/>
        <v>0</v>
      </c>
      <c r="BW63" s="21">
        <f t="shared" si="42"/>
        <v>0</v>
      </c>
      <c r="BX63" s="21">
        <f t="shared" si="43"/>
        <v>0</v>
      </c>
      <c r="BY63" s="21">
        <f t="shared" si="43"/>
        <v>0</v>
      </c>
      <c r="BZ63" s="21">
        <f t="shared" si="43"/>
        <v>3834534</v>
      </c>
      <c r="CA63" s="21">
        <f t="shared" si="43"/>
        <v>0</v>
      </c>
      <c r="CB63" s="21">
        <f t="shared" si="43"/>
        <v>0</v>
      </c>
      <c r="CC63" s="21">
        <f t="shared" si="43"/>
        <v>0</v>
      </c>
      <c r="CD63" s="21">
        <f t="shared" si="43"/>
        <v>0</v>
      </c>
      <c r="CE63" s="23">
        <f t="shared" si="6"/>
        <v>0.91322758072453347</v>
      </c>
      <c r="CF63" s="21">
        <f t="shared" si="44"/>
        <v>48249466</v>
      </c>
      <c r="CG63" s="21"/>
      <c r="CH63" s="21">
        <f>+'[1]Acuerdo PLAN INVERSIÓN 2021'!$J$4576</f>
        <v>9250000</v>
      </c>
      <c r="CI63" s="21"/>
      <c r="CJ63" s="21"/>
      <c r="CK63" s="21"/>
      <c r="CL63" s="21">
        <f>+'[9]Acuerdo PLAN INVERSIÓN 2021'!$AC$569</f>
        <v>20000000</v>
      </c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>
        <f>+'[4]Acuerdo PLAN INVERSIÓN 2021'!$X$1811</f>
        <v>10000000</v>
      </c>
      <c r="CY63" s="21">
        <f>+'[1]Acuerdo PLAN INVERSIÓN 2021'!$Y$4576</f>
        <v>8999466</v>
      </c>
      <c r="CZ63" s="21"/>
      <c r="DA63" s="21"/>
      <c r="DB63" s="21"/>
      <c r="DC63" s="21"/>
      <c r="DD63" s="23">
        <f t="shared" si="8"/>
        <v>8.6772419275466528E-2</v>
      </c>
      <c r="DE63" s="21">
        <f t="shared" si="45"/>
        <v>4584534</v>
      </c>
      <c r="DF63" s="21">
        <f t="shared" si="46"/>
        <v>0</v>
      </c>
      <c r="DG63" s="21">
        <f t="shared" si="46"/>
        <v>750000</v>
      </c>
      <c r="DH63" s="21">
        <f t="shared" si="46"/>
        <v>0</v>
      </c>
      <c r="DI63" s="21">
        <f t="shared" si="46"/>
        <v>0</v>
      </c>
      <c r="DJ63" s="21">
        <f t="shared" si="46"/>
        <v>0</v>
      </c>
      <c r="DK63" s="21">
        <f t="shared" si="46"/>
        <v>0</v>
      </c>
      <c r="DL63" s="21">
        <f t="shared" si="46"/>
        <v>0</v>
      </c>
      <c r="DM63" s="21">
        <f t="shared" si="46"/>
        <v>0</v>
      </c>
      <c r="DN63" s="21">
        <f t="shared" si="46"/>
        <v>0</v>
      </c>
      <c r="DO63" s="21">
        <f t="shared" si="46"/>
        <v>0</v>
      </c>
      <c r="DP63" s="21">
        <f t="shared" si="46"/>
        <v>0</v>
      </c>
      <c r="DQ63" s="21">
        <f t="shared" si="46"/>
        <v>0</v>
      </c>
      <c r="DR63" s="21">
        <f t="shared" si="46"/>
        <v>0</v>
      </c>
      <c r="DS63" s="21">
        <f t="shared" si="46"/>
        <v>0</v>
      </c>
      <c r="DT63" s="21">
        <f t="shared" si="46"/>
        <v>0</v>
      </c>
      <c r="DU63" s="21">
        <f t="shared" si="46"/>
        <v>0</v>
      </c>
      <c r="DV63" s="21">
        <f t="shared" si="47"/>
        <v>0</v>
      </c>
      <c r="DW63" s="21">
        <f t="shared" si="47"/>
        <v>0</v>
      </c>
      <c r="DX63" s="21">
        <f t="shared" si="47"/>
        <v>3834534</v>
      </c>
      <c r="DY63" s="21">
        <f t="shared" si="47"/>
        <v>0</v>
      </c>
      <c r="DZ63" s="21">
        <f t="shared" si="47"/>
        <v>0</v>
      </c>
      <c r="EA63" s="21">
        <f t="shared" si="47"/>
        <v>0</v>
      </c>
      <c r="EB63" s="21">
        <f t="shared" si="47"/>
        <v>0</v>
      </c>
      <c r="EE63" s="39">
        <f t="shared" si="29"/>
        <v>52834000</v>
      </c>
      <c r="EF63" s="39">
        <f t="shared" si="30"/>
        <v>48249466</v>
      </c>
    </row>
    <row r="64" spans="1:137" ht="55.5" hidden="1" customHeight="1" x14ac:dyDescent="0.25">
      <c r="A64" s="175"/>
      <c r="B64" s="171" t="s">
        <v>202</v>
      </c>
      <c r="C64" s="34" t="s">
        <v>203</v>
      </c>
      <c r="D64" s="29" t="s">
        <v>204</v>
      </c>
      <c r="E64" s="19">
        <v>520</v>
      </c>
      <c r="F64" s="20" t="s">
        <v>205</v>
      </c>
      <c r="G64" s="21">
        <f t="shared" si="39"/>
        <v>1254721927</v>
      </c>
      <c r="H64" s="22">
        <v>800000000</v>
      </c>
      <c r="I64" s="22">
        <f t="shared" si="48"/>
        <v>-454721927</v>
      </c>
      <c r="J64" s="41"/>
      <c r="K64" s="21">
        <f>95000000+80000000+37736445</f>
        <v>212736445</v>
      </c>
      <c r="L64" s="21"/>
      <c r="M64" s="21"/>
      <c r="N64" s="41"/>
      <c r="O64" s="21">
        <v>147645552</v>
      </c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>
        <f>80000000+27766866</f>
        <v>107766866</v>
      </c>
      <c r="AB64" s="21">
        <v>19896688</v>
      </c>
      <c r="AC64" s="21"/>
      <c r="AD64" s="21"/>
      <c r="AE64" s="21"/>
      <c r="AF64" s="21">
        <f>349469459+27565544+40000000+15000000+15000000+143204446+8836832+49165018+11000000+4714000+5000000+78468477+8000000+5000000-3747400+10000000</f>
        <v>766676376</v>
      </c>
      <c r="AG64" s="23">
        <f t="shared" si="1"/>
        <v>0.83869239498832793</v>
      </c>
      <c r="AH64" s="21">
        <f t="shared" si="40"/>
        <v>1052325738</v>
      </c>
      <c r="AI64" s="21"/>
      <c r="AJ64" s="21">
        <f>+'[1]Acuerdo PLAN INVERSIÓN 2021'!$J$4596</f>
        <v>181536622</v>
      </c>
      <c r="AK64" s="21"/>
      <c r="AL64" s="21"/>
      <c r="AM64" s="21"/>
      <c r="AN64" s="21">
        <f>+'[1]Acuerdo PLAN INVERSIÓN 2021'!$AD$4596</f>
        <v>119547293</v>
      </c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>
        <f>+'[1]Acuerdo PLAN INVERSIÓN 2021'!$X$4596</f>
        <v>77248431</v>
      </c>
      <c r="BA64" s="21">
        <f>+'[3]Acuerdo PLAN INVERSIÓN 2021'!$Y$3054</f>
        <v>19896688</v>
      </c>
      <c r="BB64" s="21"/>
      <c r="BC64" s="21"/>
      <c r="BD64" s="21"/>
      <c r="BE64" s="21">
        <f>+'[1]Acuerdo PLAN INVERSIÓN 2021'!$AF$4596</f>
        <v>654096704</v>
      </c>
      <c r="BF64" s="23">
        <f t="shared" si="12"/>
        <v>0.16130760501167207</v>
      </c>
      <c r="BG64" s="21">
        <f t="shared" si="41"/>
        <v>202396189</v>
      </c>
      <c r="BH64" s="21">
        <f t="shared" si="42"/>
        <v>0</v>
      </c>
      <c r="BI64" s="21">
        <f t="shared" si="42"/>
        <v>31199823</v>
      </c>
      <c r="BJ64" s="21">
        <f t="shared" si="42"/>
        <v>0</v>
      </c>
      <c r="BK64" s="21">
        <f t="shared" si="42"/>
        <v>0</v>
      </c>
      <c r="BL64" s="21">
        <f t="shared" si="42"/>
        <v>0</v>
      </c>
      <c r="BM64" s="21">
        <f t="shared" si="42"/>
        <v>28098259</v>
      </c>
      <c r="BN64" s="21">
        <f t="shared" si="42"/>
        <v>0</v>
      </c>
      <c r="BO64" s="21">
        <f t="shared" si="42"/>
        <v>0</v>
      </c>
      <c r="BP64" s="21">
        <f t="shared" si="42"/>
        <v>0</v>
      </c>
      <c r="BQ64" s="21">
        <f t="shared" si="42"/>
        <v>0</v>
      </c>
      <c r="BR64" s="21">
        <f t="shared" si="42"/>
        <v>0</v>
      </c>
      <c r="BS64" s="21">
        <f t="shared" si="42"/>
        <v>0</v>
      </c>
      <c r="BT64" s="21">
        <f t="shared" si="42"/>
        <v>0</v>
      </c>
      <c r="BU64" s="21">
        <f t="shared" si="42"/>
        <v>0</v>
      </c>
      <c r="BV64" s="21">
        <f t="shared" si="42"/>
        <v>0</v>
      </c>
      <c r="BW64" s="21">
        <f t="shared" si="42"/>
        <v>0</v>
      </c>
      <c r="BX64" s="21">
        <f t="shared" si="43"/>
        <v>0</v>
      </c>
      <c r="BY64" s="21">
        <f t="shared" si="43"/>
        <v>30518435</v>
      </c>
      <c r="BZ64" s="21">
        <f t="shared" si="43"/>
        <v>0</v>
      </c>
      <c r="CA64" s="21">
        <f t="shared" si="43"/>
        <v>0</v>
      </c>
      <c r="CB64" s="21">
        <f t="shared" si="43"/>
        <v>0</v>
      </c>
      <c r="CC64" s="21">
        <f t="shared" si="43"/>
        <v>0</v>
      </c>
      <c r="CD64" s="21">
        <f t="shared" si="43"/>
        <v>112579672</v>
      </c>
      <c r="CE64" s="23">
        <f t="shared" si="6"/>
        <v>0.83869239498832793</v>
      </c>
      <c r="CF64" s="21">
        <f t="shared" si="44"/>
        <v>1052325738</v>
      </c>
      <c r="CG64" s="21"/>
      <c r="CH64" s="21">
        <f>+'[1]Acuerdo PLAN INVERSIÓN 2021'!$J$4596</f>
        <v>181536622</v>
      </c>
      <c r="CI64" s="21"/>
      <c r="CJ64" s="21"/>
      <c r="CK64" s="21"/>
      <c r="CL64" s="21">
        <f>+'[1]Acuerdo PLAN INVERSIÓN 2021'!$AD$4596</f>
        <v>119547293</v>
      </c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>
        <f>+'[1]Acuerdo PLAN INVERSIÓN 2021'!$X$4596</f>
        <v>77248431</v>
      </c>
      <c r="CY64" s="21">
        <f>+'[3]Acuerdo PLAN INVERSIÓN 2021'!$Y$3054</f>
        <v>19896688</v>
      </c>
      <c r="CZ64" s="21"/>
      <c r="DA64" s="21"/>
      <c r="DB64" s="21"/>
      <c r="DC64" s="21">
        <f>+'[1]Acuerdo PLAN INVERSIÓN 2021'!$AF$4596</f>
        <v>654096704</v>
      </c>
      <c r="DD64" s="23">
        <f t="shared" si="8"/>
        <v>0.16130760501167207</v>
      </c>
      <c r="DE64" s="21">
        <f t="shared" si="45"/>
        <v>202396189</v>
      </c>
      <c r="DF64" s="21">
        <f t="shared" si="46"/>
        <v>0</v>
      </c>
      <c r="DG64" s="21">
        <f t="shared" si="46"/>
        <v>31199823</v>
      </c>
      <c r="DH64" s="21">
        <f t="shared" si="46"/>
        <v>0</v>
      </c>
      <c r="DI64" s="21">
        <f t="shared" si="46"/>
        <v>0</v>
      </c>
      <c r="DJ64" s="21">
        <f t="shared" si="46"/>
        <v>0</v>
      </c>
      <c r="DK64" s="21">
        <f t="shared" si="46"/>
        <v>28098259</v>
      </c>
      <c r="DL64" s="21">
        <f t="shared" si="46"/>
        <v>0</v>
      </c>
      <c r="DM64" s="21">
        <f t="shared" si="46"/>
        <v>0</v>
      </c>
      <c r="DN64" s="21">
        <f t="shared" si="46"/>
        <v>0</v>
      </c>
      <c r="DO64" s="21">
        <f t="shared" si="46"/>
        <v>0</v>
      </c>
      <c r="DP64" s="21">
        <f t="shared" si="46"/>
        <v>0</v>
      </c>
      <c r="DQ64" s="21">
        <f t="shared" si="46"/>
        <v>0</v>
      </c>
      <c r="DR64" s="21">
        <f t="shared" si="46"/>
        <v>0</v>
      </c>
      <c r="DS64" s="21">
        <f t="shared" si="46"/>
        <v>0</v>
      </c>
      <c r="DT64" s="21">
        <f t="shared" si="46"/>
        <v>0</v>
      </c>
      <c r="DU64" s="21">
        <f t="shared" si="46"/>
        <v>0</v>
      </c>
      <c r="DV64" s="21">
        <f t="shared" si="47"/>
        <v>0</v>
      </c>
      <c r="DW64" s="21">
        <f t="shared" si="47"/>
        <v>30518435</v>
      </c>
      <c r="DX64" s="21">
        <f t="shared" si="47"/>
        <v>0</v>
      </c>
      <c r="DY64" s="21">
        <f t="shared" si="47"/>
        <v>0</v>
      </c>
      <c r="DZ64" s="21">
        <f t="shared" si="47"/>
        <v>0</v>
      </c>
      <c r="EA64" s="21">
        <f t="shared" si="47"/>
        <v>0</v>
      </c>
      <c r="EB64" s="21">
        <f t="shared" si="47"/>
        <v>112579672</v>
      </c>
      <c r="EE64" s="39">
        <f t="shared" si="29"/>
        <v>1254721927</v>
      </c>
      <c r="EF64" s="39">
        <f t="shared" si="30"/>
        <v>1052325738</v>
      </c>
    </row>
    <row r="65" spans="1:137" ht="21" hidden="1" customHeight="1" x14ac:dyDescent="0.25">
      <c r="A65" s="175"/>
      <c r="B65" s="172"/>
      <c r="C65" s="34" t="s">
        <v>206</v>
      </c>
      <c r="D65" s="29" t="s">
        <v>207</v>
      </c>
      <c r="E65" s="30">
        <v>520</v>
      </c>
      <c r="F65" s="20" t="s">
        <v>105</v>
      </c>
      <c r="G65" s="21">
        <f t="shared" si="39"/>
        <v>0</v>
      </c>
      <c r="H65" s="52">
        <f>350000000+315000000+276000000</f>
        <v>941000000</v>
      </c>
      <c r="I65" s="22">
        <f t="shared" si="48"/>
        <v>941000000</v>
      </c>
      <c r="J65" s="43"/>
      <c r="K65" s="21"/>
      <c r="L65" s="41"/>
      <c r="M65" s="41"/>
      <c r="N65" s="4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3" t="e">
        <f t="shared" si="1"/>
        <v>#DIV/0!</v>
      </c>
      <c r="AH65" s="21">
        <f t="shared" si="40"/>
        <v>0</v>
      </c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3" t="e">
        <f t="shared" si="12"/>
        <v>#DIV/0!</v>
      </c>
      <c r="BG65" s="21">
        <f t="shared" si="41"/>
        <v>0</v>
      </c>
      <c r="BH65" s="21">
        <f t="shared" si="42"/>
        <v>0</v>
      </c>
      <c r="BI65" s="21">
        <f t="shared" si="42"/>
        <v>0</v>
      </c>
      <c r="BJ65" s="21">
        <f t="shared" si="42"/>
        <v>0</v>
      </c>
      <c r="BK65" s="21">
        <f t="shared" si="42"/>
        <v>0</v>
      </c>
      <c r="BL65" s="21">
        <f t="shared" si="42"/>
        <v>0</v>
      </c>
      <c r="BM65" s="21">
        <f t="shared" si="42"/>
        <v>0</v>
      </c>
      <c r="BN65" s="21">
        <f t="shared" si="42"/>
        <v>0</v>
      </c>
      <c r="BO65" s="21">
        <f t="shared" si="42"/>
        <v>0</v>
      </c>
      <c r="BP65" s="21">
        <f t="shared" si="42"/>
        <v>0</v>
      </c>
      <c r="BQ65" s="21">
        <f t="shared" si="42"/>
        <v>0</v>
      </c>
      <c r="BR65" s="21">
        <f t="shared" si="42"/>
        <v>0</v>
      </c>
      <c r="BS65" s="21">
        <f t="shared" si="42"/>
        <v>0</v>
      </c>
      <c r="BT65" s="21">
        <f t="shared" si="42"/>
        <v>0</v>
      </c>
      <c r="BU65" s="21">
        <f t="shared" si="42"/>
        <v>0</v>
      </c>
      <c r="BV65" s="21">
        <f t="shared" si="42"/>
        <v>0</v>
      </c>
      <c r="BW65" s="21">
        <f t="shared" si="42"/>
        <v>0</v>
      </c>
      <c r="BX65" s="21">
        <f t="shared" si="43"/>
        <v>0</v>
      </c>
      <c r="BY65" s="21">
        <f t="shared" si="43"/>
        <v>0</v>
      </c>
      <c r="BZ65" s="21">
        <f t="shared" si="43"/>
        <v>0</v>
      </c>
      <c r="CA65" s="21">
        <f t="shared" si="43"/>
        <v>0</v>
      </c>
      <c r="CB65" s="21">
        <f t="shared" si="43"/>
        <v>0</v>
      </c>
      <c r="CC65" s="21">
        <f t="shared" si="43"/>
        <v>0</v>
      </c>
      <c r="CD65" s="21">
        <f t="shared" si="43"/>
        <v>0</v>
      </c>
      <c r="CE65" s="23">
        <v>0</v>
      </c>
      <c r="CF65" s="21">
        <f t="shared" si="44"/>
        <v>0</v>
      </c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3">
        <f t="shared" si="8"/>
        <v>1</v>
      </c>
      <c r="DE65" s="21">
        <f t="shared" si="45"/>
        <v>0</v>
      </c>
      <c r="DF65" s="21">
        <f t="shared" si="46"/>
        <v>0</v>
      </c>
      <c r="DG65" s="21">
        <f t="shared" si="46"/>
        <v>0</v>
      </c>
      <c r="DH65" s="21">
        <f t="shared" si="46"/>
        <v>0</v>
      </c>
      <c r="DI65" s="21">
        <f t="shared" si="46"/>
        <v>0</v>
      </c>
      <c r="DJ65" s="21">
        <f t="shared" si="46"/>
        <v>0</v>
      </c>
      <c r="DK65" s="21">
        <f t="shared" si="46"/>
        <v>0</v>
      </c>
      <c r="DL65" s="21">
        <f t="shared" si="46"/>
        <v>0</v>
      </c>
      <c r="DM65" s="21">
        <f t="shared" si="46"/>
        <v>0</v>
      </c>
      <c r="DN65" s="21">
        <f t="shared" si="46"/>
        <v>0</v>
      </c>
      <c r="DO65" s="21">
        <f t="shared" si="46"/>
        <v>0</v>
      </c>
      <c r="DP65" s="21">
        <f t="shared" si="46"/>
        <v>0</v>
      </c>
      <c r="DQ65" s="21">
        <f t="shared" si="46"/>
        <v>0</v>
      </c>
      <c r="DR65" s="21">
        <f t="shared" si="46"/>
        <v>0</v>
      </c>
      <c r="DS65" s="21">
        <f t="shared" si="46"/>
        <v>0</v>
      </c>
      <c r="DT65" s="21">
        <f t="shared" si="46"/>
        <v>0</v>
      </c>
      <c r="DU65" s="21">
        <f t="shared" si="46"/>
        <v>0</v>
      </c>
      <c r="DV65" s="21">
        <f t="shared" si="47"/>
        <v>0</v>
      </c>
      <c r="DW65" s="21">
        <f t="shared" si="47"/>
        <v>0</v>
      </c>
      <c r="DX65" s="21">
        <f t="shared" si="47"/>
        <v>0</v>
      </c>
      <c r="DY65" s="21">
        <f t="shared" si="47"/>
        <v>0</v>
      </c>
      <c r="DZ65" s="21">
        <f t="shared" si="47"/>
        <v>0</v>
      </c>
      <c r="EA65" s="21">
        <f t="shared" si="47"/>
        <v>0</v>
      </c>
      <c r="EB65" s="21">
        <f t="shared" si="47"/>
        <v>0</v>
      </c>
      <c r="EE65" s="39">
        <f t="shared" si="29"/>
        <v>0</v>
      </c>
      <c r="EF65" s="39">
        <f t="shared" si="30"/>
        <v>0</v>
      </c>
    </row>
    <row r="66" spans="1:137" ht="45.75" hidden="1" customHeight="1" x14ac:dyDescent="0.25">
      <c r="A66" s="175"/>
      <c r="B66" s="172"/>
      <c r="C66" s="33" t="s">
        <v>208</v>
      </c>
      <c r="D66" s="18" t="s">
        <v>209</v>
      </c>
      <c r="E66" s="19">
        <v>520</v>
      </c>
      <c r="F66" s="36" t="s">
        <v>210</v>
      </c>
      <c r="G66" s="21">
        <f t="shared" si="39"/>
        <v>68878336</v>
      </c>
      <c r="H66" s="22">
        <v>420000000</v>
      </c>
      <c r="I66" s="22">
        <f t="shared" si="48"/>
        <v>351121664</v>
      </c>
      <c r="J66" s="41"/>
      <c r="K66" s="21"/>
      <c r="L66" s="41"/>
      <c r="M66" s="41"/>
      <c r="N66" s="41"/>
      <c r="O66" s="4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>
        <f>39332279+5000000+5000000+5000000+6546057+8000000</f>
        <v>68878336</v>
      </c>
      <c r="AG66" s="23">
        <f t="shared" si="1"/>
        <v>0.74592882150927686</v>
      </c>
      <c r="AH66" s="21">
        <f t="shared" si="40"/>
        <v>51378336</v>
      </c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>
        <f>+'[1]Acuerdo PLAN INVERSIÓN 2021'!$AF$5399</f>
        <v>51378336</v>
      </c>
      <c r="BF66" s="23">
        <f t="shared" si="12"/>
        <v>0.25407117849072314</v>
      </c>
      <c r="BG66" s="21">
        <f t="shared" si="41"/>
        <v>17500000</v>
      </c>
      <c r="BH66" s="21">
        <f t="shared" si="42"/>
        <v>0</v>
      </c>
      <c r="BI66" s="21">
        <f t="shared" si="42"/>
        <v>0</v>
      </c>
      <c r="BJ66" s="21">
        <f t="shared" si="42"/>
        <v>0</v>
      </c>
      <c r="BK66" s="21">
        <f t="shared" si="42"/>
        <v>0</v>
      </c>
      <c r="BL66" s="21">
        <f t="shared" si="42"/>
        <v>0</v>
      </c>
      <c r="BM66" s="21">
        <f t="shared" si="42"/>
        <v>0</v>
      </c>
      <c r="BN66" s="21">
        <f t="shared" si="42"/>
        <v>0</v>
      </c>
      <c r="BO66" s="21">
        <f t="shared" si="42"/>
        <v>0</v>
      </c>
      <c r="BP66" s="21">
        <f t="shared" si="42"/>
        <v>0</v>
      </c>
      <c r="BQ66" s="21">
        <f t="shared" si="42"/>
        <v>0</v>
      </c>
      <c r="BR66" s="21">
        <f t="shared" si="42"/>
        <v>0</v>
      </c>
      <c r="BS66" s="21">
        <f t="shared" si="42"/>
        <v>0</v>
      </c>
      <c r="BT66" s="21">
        <f t="shared" si="42"/>
        <v>0</v>
      </c>
      <c r="BU66" s="21">
        <f t="shared" si="42"/>
        <v>0</v>
      </c>
      <c r="BV66" s="21">
        <f t="shared" si="42"/>
        <v>0</v>
      </c>
      <c r="BW66" s="21">
        <f t="shared" si="42"/>
        <v>0</v>
      </c>
      <c r="BX66" s="21">
        <f t="shared" si="43"/>
        <v>0</v>
      </c>
      <c r="BY66" s="21">
        <f t="shared" si="43"/>
        <v>0</v>
      </c>
      <c r="BZ66" s="21">
        <f t="shared" si="43"/>
        <v>0</v>
      </c>
      <c r="CA66" s="21">
        <f t="shared" si="43"/>
        <v>0</v>
      </c>
      <c r="CB66" s="21">
        <f t="shared" si="43"/>
        <v>0</v>
      </c>
      <c r="CC66" s="21">
        <f t="shared" si="43"/>
        <v>0</v>
      </c>
      <c r="CD66" s="21">
        <f t="shared" si="43"/>
        <v>17500000</v>
      </c>
      <c r="CE66" s="23">
        <f t="shared" si="6"/>
        <v>0.74592882150927686</v>
      </c>
      <c r="CF66" s="21">
        <f t="shared" si="44"/>
        <v>51378336</v>
      </c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>
        <f>+'[1]Acuerdo PLAN INVERSIÓN 2021'!$AF$5399</f>
        <v>51378336</v>
      </c>
      <c r="DD66" s="23">
        <f t="shared" si="8"/>
        <v>0.25407117849072314</v>
      </c>
      <c r="DE66" s="21">
        <f t="shared" si="45"/>
        <v>17500000</v>
      </c>
      <c r="DF66" s="21">
        <f t="shared" si="46"/>
        <v>0</v>
      </c>
      <c r="DG66" s="21">
        <f t="shared" si="46"/>
        <v>0</v>
      </c>
      <c r="DH66" s="21">
        <f t="shared" si="46"/>
        <v>0</v>
      </c>
      <c r="DI66" s="21">
        <f t="shared" si="46"/>
        <v>0</v>
      </c>
      <c r="DJ66" s="21">
        <f t="shared" si="46"/>
        <v>0</v>
      </c>
      <c r="DK66" s="21">
        <f t="shared" si="46"/>
        <v>0</v>
      </c>
      <c r="DL66" s="21">
        <f t="shared" si="46"/>
        <v>0</v>
      </c>
      <c r="DM66" s="21">
        <f t="shared" si="46"/>
        <v>0</v>
      </c>
      <c r="DN66" s="21">
        <f t="shared" si="46"/>
        <v>0</v>
      </c>
      <c r="DO66" s="21">
        <f t="shared" si="46"/>
        <v>0</v>
      </c>
      <c r="DP66" s="21">
        <f t="shared" si="46"/>
        <v>0</v>
      </c>
      <c r="DQ66" s="21">
        <f t="shared" si="46"/>
        <v>0</v>
      </c>
      <c r="DR66" s="21">
        <f t="shared" si="46"/>
        <v>0</v>
      </c>
      <c r="DS66" s="21">
        <f t="shared" si="46"/>
        <v>0</v>
      </c>
      <c r="DT66" s="21">
        <f t="shared" si="46"/>
        <v>0</v>
      </c>
      <c r="DU66" s="21">
        <f t="shared" si="46"/>
        <v>0</v>
      </c>
      <c r="DV66" s="21">
        <f t="shared" si="47"/>
        <v>0</v>
      </c>
      <c r="DW66" s="21">
        <f t="shared" si="47"/>
        <v>0</v>
      </c>
      <c r="DX66" s="21">
        <f t="shared" si="47"/>
        <v>0</v>
      </c>
      <c r="DY66" s="21">
        <f t="shared" si="47"/>
        <v>0</v>
      </c>
      <c r="DZ66" s="21">
        <f t="shared" si="47"/>
        <v>0</v>
      </c>
      <c r="EA66" s="21">
        <f t="shared" si="47"/>
        <v>0</v>
      </c>
      <c r="EB66" s="21">
        <f t="shared" si="47"/>
        <v>17500000</v>
      </c>
      <c r="ED66" s="135" t="s">
        <v>383</v>
      </c>
      <c r="EE66" s="39">
        <f t="shared" si="29"/>
        <v>68878336</v>
      </c>
      <c r="EF66" s="39">
        <f t="shared" si="30"/>
        <v>51378336</v>
      </c>
    </row>
    <row r="67" spans="1:137" ht="21" hidden="1" customHeight="1" x14ac:dyDescent="0.25">
      <c r="A67" s="175"/>
      <c r="B67" s="172"/>
      <c r="C67" s="33" t="s">
        <v>211</v>
      </c>
      <c r="D67" s="18" t="s">
        <v>212</v>
      </c>
      <c r="E67" s="19">
        <v>520</v>
      </c>
      <c r="F67" s="20" t="s">
        <v>105</v>
      </c>
      <c r="G67" s="21">
        <f t="shared" si="39"/>
        <v>1404625000</v>
      </c>
      <c r="H67" s="22">
        <v>1530000000</v>
      </c>
      <c r="I67" s="22">
        <f t="shared" si="48"/>
        <v>125375000</v>
      </c>
      <c r="J67" s="41"/>
      <c r="K67" s="21">
        <v>30000000</v>
      </c>
      <c r="L67" s="41"/>
      <c r="M67" s="41"/>
      <c r="N67" s="41"/>
      <c r="O67" s="41"/>
      <c r="P67" s="21"/>
      <c r="Q67" s="21"/>
      <c r="R67" s="21"/>
      <c r="S67" s="21"/>
      <c r="T67" s="21"/>
      <c r="U67" s="21"/>
      <c r="V67" s="21"/>
      <c r="W67" s="21"/>
      <c r="X67" s="21"/>
      <c r="Y67" s="21">
        <f>1200000000+100000000+74625000</f>
        <v>1374625000</v>
      </c>
      <c r="Z67" s="21"/>
      <c r="AA67" s="21"/>
      <c r="AB67" s="21"/>
      <c r="AC67" s="21"/>
      <c r="AD67" s="21"/>
      <c r="AE67" s="21"/>
      <c r="AF67" s="21"/>
      <c r="AG67" s="23">
        <f t="shared" si="1"/>
        <v>0.84872651704191515</v>
      </c>
      <c r="AH67" s="21">
        <f t="shared" si="40"/>
        <v>1192142484</v>
      </c>
      <c r="AI67" s="21"/>
      <c r="AJ67" s="21">
        <f>+'[1]Acuerdo PLAN INVERSIÓN 2021'!$J$5444</f>
        <v>6933983</v>
      </c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>
        <f>+'[1]Acuerdo PLAN INVERSIÓN 2021'!$W$5444</f>
        <v>1185208501</v>
      </c>
      <c r="AY67" s="21"/>
      <c r="AZ67" s="21"/>
      <c r="BA67" s="21"/>
      <c r="BB67" s="21"/>
      <c r="BC67" s="21"/>
      <c r="BD67" s="21"/>
      <c r="BE67" s="21"/>
      <c r="BF67" s="23">
        <f t="shared" si="12"/>
        <v>0.15127348295808485</v>
      </c>
      <c r="BG67" s="21">
        <f t="shared" si="41"/>
        <v>212482516</v>
      </c>
      <c r="BH67" s="21">
        <f t="shared" si="42"/>
        <v>0</v>
      </c>
      <c r="BI67" s="21">
        <f t="shared" si="42"/>
        <v>23066017</v>
      </c>
      <c r="BJ67" s="21">
        <f t="shared" si="42"/>
        <v>0</v>
      </c>
      <c r="BK67" s="21">
        <f t="shared" si="42"/>
        <v>0</v>
      </c>
      <c r="BL67" s="21">
        <f t="shared" si="42"/>
        <v>0</v>
      </c>
      <c r="BM67" s="21">
        <f t="shared" si="42"/>
        <v>0</v>
      </c>
      <c r="BN67" s="21">
        <f t="shared" si="42"/>
        <v>0</v>
      </c>
      <c r="BO67" s="21">
        <f t="shared" si="42"/>
        <v>0</v>
      </c>
      <c r="BP67" s="21">
        <f t="shared" si="42"/>
        <v>0</v>
      </c>
      <c r="BQ67" s="21">
        <f t="shared" si="42"/>
        <v>0</v>
      </c>
      <c r="BR67" s="21">
        <f t="shared" si="42"/>
        <v>0</v>
      </c>
      <c r="BS67" s="21">
        <f t="shared" si="42"/>
        <v>0</v>
      </c>
      <c r="BT67" s="21">
        <f t="shared" si="42"/>
        <v>0</v>
      </c>
      <c r="BU67" s="21">
        <f t="shared" si="42"/>
        <v>0</v>
      </c>
      <c r="BV67" s="21">
        <f t="shared" si="42"/>
        <v>0</v>
      </c>
      <c r="BW67" s="21">
        <f t="shared" ref="BW67:BW77" si="49">+Y67-AX67</f>
        <v>189416499</v>
      </c>
      <c r="BX67" s="21">
        <f t="shared" si="43"/>
        <v>0</v>
      </c>
      <c r="BY67" s="21">
        <f t="shared" si="43"/>
        <v>0</v>
      </c>
      <c r="BZ67" s="21">
        <f t="shared" si="43"/>
        <v>0</v>
      </c>
      <c r="CA67" s="21">
        <f t="shared" si="43"/>
        <v>0</v>
      </c>
      <c r="CB67" s="21">
        <f t="shared" si="43"/>
        <v>0</v>
      </c>
      <c r="CC67" s="21">
        <f t="shared" si="43"/>
        <v>0</v>
      </c>
      <c r="CD67" s="21">
        <f t="shared" si="43"/>
        <v>0</v>
      </c>
      <c r="CE67" s="23">
        <f t="shared" si="6"/>
        <v>0.84872651704191515</v>
      </c>
      <c r="CF67" s="21">
        <f t="shared" si="44"/>
        <v>1192142484</v>
      </c>
      <c r="CG67" s="21"/>
      <c r="CH67" s="21">
        <f>+'[1]Acuerdo PLAN INVERSIÓN 2021'!$J$5444</f>
        <v>6933983</v>
      </c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>
        <f>+'[1]Acuerdo PLAN INVERSIÓN 2021'!$W$5444</f>
        <v>1185208501</v>
      </c>
      <c r="CW67" s="21"/>
      <c r="CX67" s="21"/>
      <c r="CY67" s="21"/>
      <c r="CZ67" s="21"/>
      <c r="DA67" s="21"/>
      <c r="DB67" s="21"/>
      <c r="DC67" s="21"/>
      <c r="DD67" s="23">
        <f t="shared" si="8"/>
        <v>0.15127348295808485</v>
      </c>
      <c r="DE67" s="21">
        <f t="shared" si="45"/>
        <v>212482516</v>
      </c>
      <c r="DF67" s="21">
        <f t="shared" si="46"/>
        <v>0</v>
      </c>
      <c r="DG67" s="21">
        <f t="shared" si="46"/>
        <v>23066017</v>
      </c>
      <c r="DH67" s="21">
        <f t="shared" si="46"/>
        <v>0</v>
      </c>
      <c r="DI67" s="21">
        <f t="shared" si="46"/>
        <v>0</v>
      </c>
      <c r="DJ67" s="21">
        <f t="shared" si="46"/>
        <v>0</v>
      </c>
      <c r="DK67" s="21">
        <f t="shared" si="46"/>
        <v>0</v>
      </c>
      <c r="DL67" s="21">
        <f t="shared" si="46"/>
        <v>0</v>
      </c>
      <c r="DM67" s="21">
        <f t="shared" si="46"/>
        <v>0</v>
      </c>
      <c r="DN67" s="21">
        <f t="shared" si="46"/>
        <v>0</v>
      </c>
      <c r="DO67" s="21">
        <f t="shared" si="46"/>
        <v>0</v>
      </c>
      <c r="DP67" s="21">
        <f t="shared" si="46"/>
        <v>0</v>
      </c>
      <c r="DQ67" s="21">
        <f t="shared" si="46"/>
        <v>0</v>
      </c>
      <c r="DR67" s="21">
        <f t="shared" si="46"/>
        <v>0</v>
      </c>
      <c r="DS67" s="21">
        <f t="shared" si="46"/>
        <v>0</v>
      </c>
      <c r="DT67" s="21">
        <f t="shared" si="46"/>
        <v>0</v>
      </c>
      <c r="DU67" s="21">
        <f t="shared" ref="DU67:DU77" si="50">+Y67-CV67</f>
        <v>189416499</v>
      </c>
      <c r="DV67" s="21">
        <f t="shared" si="47"/>
        <v>0</v>
      </c>
      <c r="DW67" s="21">
        <f t="shared" si="47"/>
        <v>0</v>
      </c>
      <c r="DX67" s="21">
        <f t="shared" si="47"/>
        <v>0</v>
      </c>
      <c r="DY67" s="21">
        <f t="shared" si="47"/>
        <v>0</v>
      </c>
      <c r="DZ67" s="21">
        <f t="shared" si="47"/>
        <v>0</v>
      </c>
      <c r="EA67" s="21">
        <f t="shared" si="47"/>
        <v>0</v>
      </c>
      <c r="EB67" s="21">
        <f t="shared" si="47"/>
        <v>0</v>
      </c>
      <c r="EE67" s="39">
        <f t="shared" si="29"/>
        <v>1404625000</v>
      </c>
      <c r="EF67" s="39">
        <f t="shared" si="30"/>
        <v>1192142484</v>
      </c>
    </row>
    <row r="68" spans="1:137" ht="30.75" hidden="1" customHeight="1" x14ac:dyDescent="0.25">
      <c r="A68" s="175"/>
      <c r="B68" s="173"/>
      <c r="C68" s="33" t="s">
        <v>213</v>
      </c>
      <c r="D68" s="18" t="s">
        <v>214</v>
      </c>
      <c r="E68" s="19">
        <v>520</v>
      </c>
      <c r="F68" s="20" t="s">
        <v>215</v>
      </c>
      <c r="G68" s="21">
        <f t="shared" si="39"/>
        <v>178800000</v>
      </c>
      <c r="H68" s="22">
        <v>200000000</v>
      </c>
      <c r="I68" s="22">
        <f t="shared" si="48"/>
        <v>21200000</v>
      </c>
      <c r="J68" s="41"/>
      <c r="K68" s="21">
        <f>100000000+30000000</f>
        <v>130000000</v>
      </c>
      <c r="L68" s="21"/>
      <c r="M68" s="21"/>
      <c r="N68" s="41"/>
      <c r="O68" s="4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>
        <v>40000000</v>
      </c>
      <c r="AB68" s="21"/>
      <c r="AC68" s="21"/>
      <c r="AD68" s="21"/>
      <c r="AE68" s="21"/>
      <c r="AF68" s="21">
        <f>3000000+5800000</f>
        <v>8800000</v>
      </c>
      <c r="AG68" s="23">
        <f t="shared" si="1"/>
        <v>0.5522470973154362</v>
      </c>
      <c r="AH68" s="21">
        <f t="shared" si="40"/>
        <v>98741781</v>
      </c>
      <c r="AI68" s="21"/>
      <c r="AJ68" s="21">
        <f>+'[1]Acuerdo PLAN INVERSIÓN 2021'!$J$5659</f>
        <v>89975115</v>
      </c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>
        <f>+'[7]Acuerdo PLAN INVERSIÓN 2021'!$AF$3109</f>
        <v>8766666</v>
      </c>
      <c r="BF68" s="23">
        <f t="shared" si="12"/>
        <v>0.4477529026845638</v>
      </c>
      <c r="BG68" s="21">
        <f t="shared" si="41"/>
        <v>80058219</v>
      </c>
      <c r="BH68" s="21">
        <f t="shared" ref="BH68:BV77" si="51">+J68-AI68</f>
        <v>0</v>
      </c>
      <c r="BI68" s="21">
        <f t="shared" si="51"/>
        <v>40024885</v>
      </c>
      <c r="BJ68" s="21">
        <f t="shared" si="51"/>
        <v>0</v>
      </c>
      <c r="BK68" s="21">
        <f t="shared" si="51"/>
        <v>0</v>
      </c>
      <c r="BL68" s="21">
        <f t="shared" si="51"/>
        <v>0</v>
      </c>
      <c r="BM68" s="21">
        <f t="shared" si="51"/>
        <v>0</v>
      </c>
      <c r="BN68" s="21">
        <f t="shared" si="51"/>
        <v>0</v>
      </c>
      <c r="BO68" s="21">
        <f t="shared" si="51"/>
        <v>0</v>
      </c>
      <c r="BP68" s="21">
        <f t="shared" si="51"/>
        <v>0</v>
      </c>
      <c r="BQ68" s="21">
        <f t="shared" si="51"/>
        <v>0</v>
      </c>
      <c r="BR68" s="21">
        <f t="shared" si="51"/>
        <v>0</v>
      </c>
      <c r="BS68" s="21">
        <f t="shared" si="51"/>
        <v>0</v>
      </c>
      <c r="BT68" s="21">
        <f t="shared" si="51"/>
        <v>0</v>
      </c>
      <c r="BU68" s="21">
        <f t="shared" si="51"/>
        <v>0</v>
      </c>
      <c r="BV68" s="21">
        <f t="shared" si="51"/>
        <v>0</v>
      </c>
      <c r="BW68" s="21">
        <f t="shared" si="49"/>
        <v>0</v>
      </c>
      <c r="BX68" s="21">
        <f t="shared" si="43"/>
        <v>0</v>
      </c>
      <c r="BY68" s="21">
        <f t="shared" si="43"/>
        <v>40000000</v>
      </c>
      <c r="BZ68" s="21">
        <f t="shared" si="43"/>
        <v>0</v>
      </c>
      <c r="CA68" s="21">
        <f t="shared" si="43"/>
        <v>0</v>
      </c>
      <c r="CB68" s="21">
        <f t="shared" si="43"/>
        <v>0</v>
      </c>
      <c r="CC68" s="21">
        <f t="shared" si="43"/>
        <v>0</v>
      </c>
      <c r="CD68" s="21">
        <f t="shared" si="43"/>
        <v>33334</v>
      </c>
      <c r="CE68" s="23">
        <f t="shared" si="6"/>
        <v>0.5522470973154362</v>
      </c>
      <c r="CF68" s="21">
        <f t="shared" si="44"/>
        <v>98741781</v>
      </c>
      <c r="CG68" s="21"/>
      <c r="CH68" s="21">
        <f>+'[1]Acuerdo PLAN INVERSIÓN 2021'!$J$5659</f>
        <v>89975115</v>
      </c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>
        <f>+'[7]Acuerdo PLAN INVERSIÓN 2021'!$AF$3109</f>
        <v>8766666</v>
      </c>
      <c r="DD68" s="23">
        <f t="shared" si="8"/>
        <v>0.4477529026845638</v>
      </c>
      <c r="DE68" s="21">
        <f t="shared" si="45"/>
        <v>80058219</v>
      </c>
      <c r="DF68" s="21">
        <f t="shared" ref="DF68:DT77" si="52">+J68-CG68</f>
        <v>0</v>
      </c>
      <c r="DG68" s="21">
        <f t="shared" si="52"/>
        <v>40024885</v>
      </c>
      <c r="DH68" s="21">
        <f t="shared" si="52"/>
        <v>0</v>
      </c>
      <c r="DI68" s="21">
        <f t="shared" si="52"/>
        <v>0</v>
      </c>
      <c r="DJ68" s="21">
        <f t="shared" si="52"/>
        <v>0</v>
      </c>
      <c r="DK68" s="21">
        <f t="shared" si="52"/>
        <v>0</v>
      </c>
      <c r="DL68" s="21">
        <f t="shared" si="52"/>
        <v>0</v>
      </c>
      <c r="DM68" s="21">
        <f t="shared" si="52"/>
        <v>0</v>
      </c>
      <c r="DN68" s="21">
        <f t="shared" si="52"/>
        <v>0</v>
      </c>
      <c r="DO68" s="21">
        <f t="shared" si="52"/>
        <v>0</v>
      </c>
      <c r="DP68" s="21">
        <f t="shared" si="52"/>
        <v>0</v>
      </c>
      <c r="DQ68" s="21">
        <f t="shared" si="52"/>
        <v>0</v>
      </c>
      <c r="DR68" s="21">
        <f t="shared" si="52"/>
        <v>0</v>
      </c>
      <c r="DS68" s="21">
        <f t="shared" si="52"/>
        <v>0</v>
      </c>
      <c r="DT68" s="21">
        <f t="shared" si="52"/>
        <v>0</v>
      </c>
      <c r="DU68" s="21">
        <f t="shared" si="50"/>
        <v>0</v>
      </c>
      <c r="DV68" s="21">
        <f t="shared" si="47"/>
        <v>0</v>
      </c>
      <c r="DW68" s="21">
        <f t="shared" si="47"/>
        <v>40000000</v>
      </c>
      <c r="DX68" s="21">
        <f t="shared" si="47"/>
        <v>0</v>
      </c>
      <c r="DY68" s="21">
        <f t="shared" si="47"/>
        <v>0</v>
      </c>
      <c r="DZ68" s="21">
        <f t="shared" si="47"/>
        <v>0</v>
      </c>
      <c r="EA68" s="21">
        <f t="shared" si="47"/>
        <v>0</v>
      </c>
      <c r="EB68" s="21">
        <f t="shared" si="47"/>
        <v>33334</v>
      </c>
      <c r="EE68" s="39">
        <f t="shared" si="29"/>
        <v>178800000</v>
      </c>
      <c r="EF68" s="39">
        <f t="shared" si="30"/>
        <v>98741781</v>
      </c>
    </row>
    <row r="69" spans="1:137" ht="19.2" hidden="1" customHeight="1" x14ac:dyDescent="0.25">
      <c r="A69" s="174" t="s">
        <v>172</v>
      </c>
      <c r="B69" s="171" t="s">
        <v>216</v>
      </c>
      <c r="C69" s="33" t="s">
        <v>217</v>
      </c>
      <c r="D69" s="18" t="s">
        <v>218</v>
      </c>
      <c r="E69" s="19">
        <v>520</v>
      </c>
      <c r="F69" s="20" t="s">
        <v>105</v>
      </c>
      <c r="G69" s="21">
        <f t="shared" si="39"/>
        <v>103866666</v>
      </c>
      <c r="H69" s="22">
        <v>154600000</v>
      </c>
      <c r="I69" s="22">
        <f t="shared" si="48"/>
        <v>50733334</v>
      </c>
      <c r="J69" s="41"/>
      <c r="K69" s="21">
        <f>50000000+10000000</f>
        <v>60000000</v>
      </c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>
        <f>10000000</f>
        <v>10000000</v>
      </c>
      <c r="AB69" s="21">
        <v>33866666</v>
      </c>
      <c r="AC69" s="21"/>
      <c r="AD69" s="21"/>
      <c r="AE69" s="21"/>
      <c r="AF69" s="21"/>
      <c r="AG69" s="23">
        <f t="shared" si="1"/>
        <v>0.99277926182785148</v>
      </c>
      <c r="AH69" s="21">
        <f t="shared" si="40"/>
        <v>103116672</v>
      </c>
      <c r="AI69" s="21"/>
      <c r="AJ69" s="21">
        <f>+'[1]Acuerdo PLAN INVERSIÓN 2021'!$J$5703</f>
        <v>59991660</v>
      </c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>
        <f>+'[4]Acuerdo PLAN INVERSIÓN 2021'!$X$2245</f>
        <v>10000000</v>
      </c>
      <c r="BA69" s="21">
        <f>+'[1]Acuerdo PLAN INVERSIÓN 2021'!$Y$5703</f>
        <v>33125012</v>
      </c>
      <c r="BB69" s="21"/>
      <c r="BC69" s="21"/>
      <c r="BD69" s="21"/>
      <c r="BE69" s="21"/>
      <c r="BF69" s="23">
        <f t="shared" si="12"/>
        <v>7.220738172148522E-3</v>
      </c>
      <c r="BG69" s="21">
        <f t="shared" si="41"/>
        <v>749994</v>
      </c>
      <c r="BH69" s="21">
        <f t="shared" si="51"/>
        <v>0</v>
      </c>
      <c r="BI69" s="21">
        <f t="shared" si="51"/>
        <v>8340</v>
      </c>
      <c r="BJ69" s="21">
        <f t="shared" si="51"/>
        <v>0</v>
      </c>
      <c r="BK69" s="21">
        <f t="shared" si="51"/>
        <v>0</v>
      </c>
      <c r="BL69" s="21">
        <f t="shared" si="51"/>
        <v>0</v>
      </c>
      <c r="BM69" s="21">
        <f t="shared" si="51"/>
        <v>0</v>
      </c>
      <c r="BN69" s="21">
        <f t="shared" si="51"/>
        <v>0</v>
      </c>
      <c r="BO69" s="21">
        <f t="shared" si="51"/>
        <v>0</v>
      </c>
      <c r="BP69" s="21">
        <f t="shared" si="51"/>
        <v>0</v>
      </c>
      <c r="BQ69" s="21">
        <f t="shared" si="51"/>
        <v>0</v>
      </c>
      <c r="BR69" s="21">
        <f t="shared" si="51"/>
        <v>0</v>
      </c>
      <c r="BS69" s="21">
        <f t="shared" si="51"/>
        <v>0</v>
      </c>
      <c r="BT69" s="21">
        <f t="shared" si="51"/>
        <v>0</v>
      </c>
      <c r="BU69" s="21">
        <f t="shared" si="51"/>
        <v>0</v>
      </c>
      <c r="BV69" s="21">
        <f t="shared" si="51"/>
        <v>0</v>
      </c>
      <c r="BW69" s="21">
        <f t="shared" si="49"/>
        <v>0</v>
      </c>
      <c r="BX69" s="21">
        <f t="shared" si="43"/>
        <v>0</v>
      </c>
      <c r="BY69" s="21">
        <f t="shared" si="43"/>
        <v>0</v>
      </c>
      <c r="BZ69" s="21">
        <f t="shared" si="43"/>
        <v>741654</v>
      </c>
      <c r="CA69" s="21">
        <f t="shared" si="43"/>
        <v>0</v>
      </c>
      <c r="CB69" s="21">
        <f t="shared" si="43"/>
        <v>0</v>
      </c>
      <c r="CC69" s="21">
        <f t="shared" si="43"/>
        <v>0</v>
      </c>
      <c r="CD69" s="21">
        <f t="shared" si="43"/>
        <v>0</v>
      </c>
      <c r="CE69" s="23">
        <f t="shared" si="6"/>
        <v>0.99277926182785148</v>
      </c>
      <c r="CF69" s="21">
        <f t="shared" si="44"/>
        <v>103116672</v>
      </c>
      <c r="CG69" s="21"/>
      <c r="CH69" s="21">
        <f>+'[1]Acuerdo PLAN INVERSIÓN 2021'!$J$5703</f>
        <v>59991660</v>
      </c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>
        <f>+'[4]Acuerdo PLAN INVERSIÓN 2021'!$X$2245</f>
        <v>10000000</v>
      </c>
      <c r="CY69" s="21">
        <f>+'[1]Acuerdo PLAN INVERSIÓN 2021'!$Y$5703</f>
        <v>33125012</v>
      </c>
      <c r="CZ69" s="21"/>
      <c r="DA69" s="21"/>
      <c r="DB69" s="21"/>
      <c r="DC69" s="21"/>
      <c r="DD69" s="23">
        <f t="shared" si="8"/>
        <v>7.220738172148522E-3</v>
      </c>
      <c r="DE69" s="21">
        <f t="shared" si="45"/>
        <v>749994</v>
      </c>
      <c r="DF69" s="21">
        <f t="shared" si="52"/>
        <v>0</v>
      </c>
      <c r="DG69" s="21">
        <f t="shared" si="52"/>
        <v>8340</v>
      </c>
      <c r="DH69" s="21">
        <f t="shared" si="52"/>
        <v>0</v>
      </c>
      <c r="DI69" s="21">
        <f t="shared" si="52"/>
        <v>0</v>
      </c>
      <c r="DJ69" s="21">
        <f t="shared" si="52"/>
        <v>0</v>
      </c>
      <c r="DK69" s="21">
        <f t="shared" si="52"/>
        <v>0</v>
      </c>
      <c r="DL69" s="21">
        <f t="shared" si="52"/>
        <v>0</v>
      </c>
      <c r="DM69" s="21">
        <f t="shared" si="52"/>
        <v>0</v>
      </c>
      <c r="DN69" s="21">
        <f t="shared" si="52"/>
        <v>0</v>
      </c>
      <c r="DO69" s="21">
        <f t="shared" si="52"/>
        <v>0</v>
      </c>
      <c r="DP69" s="21">
        <f t="shared" si="52"/>
        <v>0</v>
      </c>
      <c r="DQ69" s="21">
        <f t="shared" si="52"/>
        <v>0</v>
      </c>
      <c r="DR69" s="21">
        <f t="shared" si="52"/>
        <v>0</v>
      </c>
      <c r="DS69" s="21">
        <f t="shared" si="52"/>
        <v>0</v>
      </c>
      <c r="DT69" s="21">
        <f t="shared" si="52"/>
        <v>0</v>
      </c>
      <c r="DU69" s="21">
        <f t="shared" si="50"/>
        <v>0</v>
      </c>
      <c r="DV69" s="21">
        <f t="shared" si="47"/>
        <v>0</v>
      </c>
      <c r="DW69" s="21">
        <f t="shared" si="47"/>
        <v>0</v>
      </c>
      <c r="DX69" s="21">
        <f t="shared" si="47"/>
        <v>741654</v>
      </c>
      <c r="DY69" s="21">
        <f t="shared" si="47"/>
        <v>0</v>
      </c>
      <c r="DZ69" s="21">
        <f t="shared" si="47"/>
        <v>0</v>
      </c>
      <c r="EA69" s="21">
        <f t="shared" si="47"/>
        <v>0</v>
      </c>
      <c r="EB69" s="21">
        <f t="shared" si="47"/>
        <v>0</v>
      </c>
      <c r="EE69" s="39">
        <f t="shared" si="29"/>
        <v>103866666</v>
      </c>
      <c r="EF69" s="39">
        <f t="shared" si="30"/>
        <v>103116672</v>
      </c>
    </row>
    <row r="70" spans="1:137" ht="20.399999999999999" hidden="1" customHeight="1" x14ac:dyDescent="0.25">
      <c r="A70" s="175"/>
      <c r="B70" s="172"/>
      <c r="C70" s="33" t="s">
        <v>219</v>
      </c>
      <c r="D70" s="18" t="s">
        <v>220</v>
      </c>
      <c r="E70" s="19">
        <v>520</v>
      </c>
      <c r="F70" s="20" t="s">
        <v>105</v>
      </c>
      <c r="G70" s="21">
        <f t="shared" si="39"/>
        <v>158894278</v>
      </c>
      <c r="H70" s="22">
        <v>148300000</v>
      </c>
      <c r="I70" s="22">
        <f t="shared" si="48"/>
        <v>-10594278</v>
      </c>
      <c r="J70" s="41"/>
      <c r="K70" s="21">
        <f>50000000+14174278+12091750</f>
        <v>76266028</v>
      </c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43"/>
      <c r="AA70" s="21">
        <f>20000000+20000000</f>
        <v>40000000</v>
      </c>
      <c r="AB70" s="21">
        <f>30000000+12628250</f>
        <v>42628250</v>
      </c>
      <c r="AC70" s="21"/>
      <c r="AD70" s="21"/>
      <c r="AE70" s="21"/>
      <c r="AF70" s="21"/>
      <c r="AG70" s="23">
        <f t="shared" si="1"/>
        <v>0.93662256358910545</v>
      </c>
      <c r="AH70" s="21">
        <f t="shared" si="40"/>
        <v>148823966</v>
      </c>
      <c r="AI70" s="21"/>
      <c r="AJ70" s="21">
        <f>+'[1]Acuerdo PLAN INVERSIÓN 2021'!$J$5740</f>
        <v>74882028</v>
      </c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>
        <f>+'[1]Acuerdo PLAN INVERSIÓN 2021'!$X$5740</f>
        <v>31347926</v>
      </c>
      <c r="BA70" s="21">
        <f>+'[1]Acuerdo PLAN INVERSIÓN 2021'!$Y$5740</f>
        <v>42594012</v>
      </c>
      <c r="BB70" s="21"/>
      <c r="BC70" s="21"/>
      <c r="BD70" s="21"/>
      <c r="BE70" s="21"/>
      <c r="BF70" s="23">
        <f t="shared" si="12"/>
        <v>6.337743641089455E-2</v>
      </c>
      <c r="BG70" s="21">
        <f t="shared" si="41"/>
        <v>10070312</v>
      </c>
      <c r="BH70" s="21">
        <f t="shared" si="51"/>
        <v>0</v>
      </c>
      <c r="BI70" s="21">
        <f t="shared" si="51"/>
        <v>1384000</v>
      </c>
      <c r="BJ70" s="21">
        <f t="shared" si="51"/>
        <v>0</v>
      </c>
      <c r="BK70" s="21">
        <f t="shared" si="51"/>
        <v>0</v>
      </c>
      <c r="BL70" s="21">
        <f t="shared" si="51"/>
        <v>0</v>
      </c>
      <c r="BM70" s="21">
        <f t="shared" si="51"/>
        <v>0</v>
      </c>
      <c r="BN70" s="21">
        <f t="shared" si="51"/>
        <v>0</v>
      </c>
      <c r="BO70" s="21">
        <f t="shared" si="51"/>
        <v>0</v>
      </c>
      <c r="BP70" s="21">
        <f t="shared" si="51"/>
        <v>0</v>
      </c>
      <c r="BQ70" s="21">
        <f t="shared" si="51"/>
        <v>0</v>
      </c>
      <c r="BR70" s="21">
        <f t="shared" si="51"/>
        <v>0</v>
      </c>
      <c r="BS70" s="21">
        <f t="shared" si="51"/>
        <v>0</v>
      </c>
      <c r="BT70" s="21">
        <f t="shared" si="51"/>
        <v>0</v>
      </c>
      <c r="BU70" s="21">
        <f t="shared" si="51"/>
        <v>0</v>
      </c>
      <c r="BV70" s="21">
        <f t="shared" si="51"/>
        <v>0</v>
      </c>
      <c r="BW70" s="21">
        <f t="shared" si="49"/>
        <v>0</v>
      </c>
      <c r="BX70" s="21">
        <f t="shared" si="43"/>
        <v>0</v>
      </c>
      <c r="BY70" s="21">
        <f t="shared" si="43"/>
        <v>8652074</v>
      </c>
      <c r="BZ70" s="21">
        <f t="shared" si="43"/>
        <v>34238</v>
      </c>
      <c r="CA70" s="21">
        <f t="shared" si="43"/>
        <v>0</v>
      </c>
      <c r="CB70" s="21">
        <f t="shared" si="43"/>
        <v>0</v>
      </c>
      <c r="CC70" s="21">
        <f t="shared" si="43"/>
        <v>0</v>
      </c>
      <c r="CD70" s="21">
        <f t="shared" si="43"/>
        <v>0</v>
      </c>
      <c r="CE70" s="23">
        <f t="shared" si="6"/>
        <v>0.93662256358910545</v>
      </c>
      <c r="CF70" s="21">
        <f t="shared" si="44"/>
        <v>148823966</v>
      </c>
      <c r="CG70" s="21"/>
      <c r="CH70" s="21">
        <f>+'[1]Acuerdo PLAN INVERSIÓN 2021'!$J$5740</f>
        <v>74882028</v>
      </c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>
        <f>+'[1]Acuerdo PLAN INVERSIÓN 2021'!$X$5740</f>
        <v>31347926</v>
      </c>
      <c r="CY70" s="21">
        <f>+'[1]Acuerdo PLAN INVERSIÓN 2021'!$Y$5740</f>
        <v>42594012</v>
      </c>
      <c r="CZ70" s="21"/>
      <c r="DA70" s="21"/>
      <c r="DB70" s="21"/>
      <c r="DC70" s="21"/>
      <c r="DD70" s="23">
        <f t="shared" si="8"/>
        <v>6.337743641089455E-2</v>
      </c>
      <c r="DE70" s="21">
        <f t="shared" si="45"/>
        <v>10070312</v>
      </c>
      <c r="DF70" s="21">
        <f t="shared" si="52"/>
        <v>0</v>
      </c>
      <c r="DG70" s="21">
        <f t="shared" si="52"/>
        <v>1384000</v>
      </c>
      <c r="DH70" s="21">
        <f t="shared" si="52"/>
        <v>0</v>
      </c>
      <c r="DI70" s="21">
        <f t="shared" si="52"/>
        <v>0</v>
      </c>
      <c r="DJ70" s="21">
        <f t="shared" si="52"/>
        <v>0</v>
      </c>
      <c r="DK70" s="21">
        <f t="shared" si="52"/>
        <v>0</v>
      </c>
      <c r="DL70" s="21">
        <f t="shared" si="52"/>
        <v>0</v>
      </c>
      <c r="DM70" s="21">
        <f t="shared" si="52"/>
        <v>0</v>
      </c>
      <c r="DN70" s="21">
        <f t="shared" si="52"/>
        <v>0</v>
      </c>
      <c r="DO70" s="21">
        <f t="shared" si="52"/>
        <v>0</v>
      </c>
      <c r="DP70" s="21">
        <f t="shared" si="52"/>
        <v>0</v>
      </c>
      <c r="DQ70" s="21">
        <f t="shared" si="52"/>
        <v>0</v>
      </c>
      <c r="DR70" s="21">
        <f t="shared" si="52"/>
        <v>0</v>
      </c>
      <c r="DS70" s="21">
        <f t="shared" si="52"/>
        <v>0</v>
      </c>
      <c r="DT70" s="21">
        <f t="shared" si="52"/>
        <v>0</v>
      </c>
      <c r="DU70" s="21">
        <f t="shared" si="50"/>
        <v>0</v>
      </c>
      <c r="DV70" s="21">
        <f t="shared" si="47"/>
        <v>0</v>
      </c>
      <c r="DW70" s="21">
        <f t="shared" si="47"/>
        <v>8652074</v>
      </c>
      <c r="DX70" s="21">
        <f t="shared" si="47"/>
        <v>34238</v>
      </c>
      <c r="DY70" s="21">
        <f t="shared" si="47"/>
        <v>0</v>
      </c>
      <c r="DZ70" s="21">
        <f t="shared" si="47"/>
        <v>0</v>
      </c>
      <c r="EA70" s="21">
        <f t="shared" si="47"/>
        <v>0</v>
      </c>
      <c r="EB70" s="21">
        <f t="shared" si="47"/>
        <v>0</v>
      </c>
      <c r="EE70" s="39">
        <f t="shared" si="29"/>
        <v>158894278</v>
      </c>
      <c r="EF70" s="39">
        <f t="shared" si="30"/>
        <v>148823966</v>
      </c>
    </row>
    <row r="71" spans="1:137" ht="17.399999999999999" hidden="1" customHeight="1" x14ac:dyDescent="0.25">
      <c r="A71" s="175"/>
      <c r="B71" s="172"/>
      <c r="C71" s="33" t="s">
        <v>221</v>
      </c>
      <c r="D71" s="18" t="s">
        <v>222</v>
      </c>
      <c r="E71" s="19">
        <v>520</v>
      </c>
      <c r="F71" s="20" t="s">
        <v>105</v>
      </c>
      <c r="G71" s="21">
        <f t="shared" si="39"/>
        <v>60000000</v>
      </c>
      <c r="H71" s="22">
        <v>90200000</v>
      </c>
      <c r="I71" s="22">
        <f t="shared" si="48"/>
        <v>30200000</v>
      </c>
      <c r="J71" s="41"/>
      <c r="K71" s="21">
        <f>40000000+10000000</f>
        <v>50000000</v>
      </c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43"/>
      <c r="AA71" s="21">
        <f t="shared" ref="AA71:AA76" si="53">10000000</f>
        <v>10000000</v>
      </c>
      <c r="AB71" s="21"/>
      <c r="AC71" s="21"/>
      <c r="AD71" s="21"/>
      <c r="AE71" s="21"/>
      <c r="AF71" s="21"/>
      <c r="AG71" s="23">
        <f t="shared" ref="AG71:AG130" si="54">AH71/G71</f>
        <v>0.62456328333333333</v>
      </c>
      <c r="AH71" s="21">
        <f t="shared" si="40"/>
        <v>37473797</v>
      </c>
      <c r="AI71" s="21"/>
      <c r="AJ71" s="21">
        <f>+'[1]Acuerdo PLAN INVERSIÓN 2021'!$J$5806</f>
        <v>37473797</v>
      </c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3">
        <f t="shared" si="12"/>
        <v>0.37543671666666667</v>
      </c>
      <c r="BG71" s="21">
        <f t="shared" si="41"/>
        <v>22526203</v>
      </c>
      <c r="BH71" s="21">
        <f t="shared" si="51"/>
        <v>0</v>
      </c>
      <c r="BI71" s="21">
        <f t="shared" si="51"/>
        <v>12526203</v>
      </c>
      <c r="BJ71" s="21">
        <f t="shared" si="51"/>
        <v>0</v>
      </c>
      <c r="BK71" s="21">
        <f t="shared" si="51"/>
        <v>0</v>
      </c>
      <c r="BL71" s="21">
        <f t="shared" si="51"/>
        <v>0</v>
      </c>
      <c r="BM71" s="21">
        <f t="shared" si="51"/>
        <v>0</v>
      </c>
      <c r="BN71" s="21">
        <f t="shared" si="51"/>
        <v>0</v>
      </c>
      <c r="BO71" s="21">
        <f t="shared" si="51"/>
        <v>0</v>
      </c>
      <c r="BP71" s="21">
        <f t="shared" si="51"/>
        <v>0</v>
      </c>
      <c r="BQ71" s="21">
        <f t="shared" si="51"/>
        <v>0</v>
      </c>
      <c r="BR71" s="21">
        <f t="shared" si="51"/>
        <v>0</v>
      </c>
      <c r="BS71" s="21">
        <f t="shared" si="51"/>
        <v>0</v>
      </c>
      <c r="BT71" s="21">
        <f t="shared" si="51"/>
        <v>0</v>
      </c>
      <c r="BU71" s="21">
        <f t="shared" si="51"/>
        <v>0</v>
      </c>
      <c r="BV71" s="21">
        <f t="shared" si="51"/>
        <v>0</v>
      </c>
      <c r="BW71" s="21">
        <f t="shared" si="49"/>
        <v>0</v>
      </c>
      <c r="BX71" s="21">
        <f t="shared" si="43"/>
        <v>0</v>
      </c>
      <c r="BY71" s="21">
        <f t="shared" si="43"/>
        <v>10000000</v>
      </c>
      <c r="BZ71" s="21">
        <f t="shared" si="43"/>
        <v>0</v>
      </c>
      <c r="CA71" s="21">
        <f t="shared" si="43"/>
        <v>0</v>
      </c>
      <c r="CB71" s="21">
        <f t="shared" si="43"/>
        <v>0</v>
      </c>
      <c r="CC71" s="21">
        <f t="shared" si="43"/>
        <v>0</v>
      </c>
      <c r="CD71" s="21">
        <f t="shared" si="43"/>
        <v>0</v>
      </c>
      <c r="CE71" s="23">
        <f t="shared" ref="CE71:CE130" si="55">CF71/G71</f>
        <v>0.62456328333333333</v>
      </c>
      <c r="CF71" s="21">
        <f t="shared" si="44"/>
        <v>37473797</v>
      </c>
      <c r="CG71" s="21"/>
      <c r="CH71" s="21">
        <f>+'[1]Acuerdo PLAN INVERSIÓN 2021'!$H$5804</f>
        <v>37473797</v>
      </c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3">
        <f t="shared" ref="DD71:DD130" si="56">1-CE71</f>
        <v>0.37543671666666667</v>
      </c>
      <c r="DE71" s="21">
        <f t="shared" si="45"/>
        <v>22526203</v>
      </c>
      <c r="DF71" s="21">
        <f t="shared" si="52"/>
        <v>0</v>
      </c>
      <c r="DG71" s="21">
        <f t="shared" si="52"/>
        <v>12526203</v>
      </c>
      <c r="DH71" s="21">
        <f t="shared" si="52"/>
        <v>0</v>
      </c>
      <c r="DI71" s="21">
        <f t="shared" si="52"/>
        <v>0</v>
      </c>
      <c r="DJ71" s="21">
        <f t="shared" si="52"/>
        <v>0</v>
      </c>
      <c r="DK71" s="21">
        <f t="shared" si="52"/>
        <v>0</v>
      </c>
      <c r="DL71" s="21">
        <f t="shared" si="52"/>
        <v>0</v>
      </c>
      <c r="DM71" s="21">
        <f t="shared" si="52"/>
        <v>0</v>
      </c>
      <c r="DN71" s="21">
        <f t="shared" si="52"/>
        <v>0</v>
      </c>
      <c r="DO71" s="21">
        <f t="shared" si="52"/>
        <v>0</v>
      </c>
      <c r="DP71" s="21">
        <f t="shared" si="52"/>
        <v>0</v>
      </c>
      <c r="DQ71" s="21">
        <f t="shared" si="52"/>
        <v>0</v>
      </c>
      <c r="DR71" s="21">
        <f t="shared" si="52"/>
        <v>0</v>
      </c>
      <c r="DS71" s="21">
        <f t="shared" si="52"/>
        <v>0</v>
      </c>
      <c r="DT71" s="21">
        <f t="shared" si="52"/>
        <v>0</v>
      </c>
      <c r="DU71" s="21">
        <f t="shared" si="50"/>
        <v>0</v>
      </c>
      <c r="DV71" s="21">
        <f t="shared" si="47"/>
        <v>0</v>
      </c>
      <c r="DW71" s="21">
        <f t="shared" si="47"/>
        <v>10000000</v>
      </c>
      <c r="DX71" s="21">
        <f t="shared" si="47"/>
        <v>0</v>
      </c>
      <c r="DY71" s="21">
        <f t="shared" si="47"/>
        <v>0</v>
      </c>
      <c r="DZ71" s="21">
        <f t="shared" si="47"/>
        <v>0</v>
      </c>
      <c r="EA71" s="21">
        <f t="shared" si="47"/>
        <v>0</v>
      </c>
      <c r="EB71" s="21">
        <f t="shared" si="47"/>
        <v>0</v>
      </c>
      <c r="EE71" s="39">
        <f t="shared" si="29"/>
        <v>60000000</v>
      </c>
      <c r="EF71" s="39">
        <f t="shared" si="30"/>
        <v>37473797</v>
      </c>
    </row>
    <row r="72" spans="1:137" ht="35.25" hidden="1" customHeight="1" x14ac:dyDescent="0.25">
      <c r="A72" s="175"/>
      <c r="B72" s="172"/>
      <c r="C72" s="33" t="s">
        <v>223</v>
      </c>
      <c r="D72" s="18" t="s">
        <v>224</v>
      </c>
      <c r="E72" s="19">
        <v>520</v>
      </c>
      <c r="F72" s="20" t="s">
        <v>225</v>
      </c>
      <c r="G72" s="21">
        <f t="shared" si="39"/>
        <v>216876230</v>
      </c>
      <c r="H72" s="22">
        <v>167900000</v>
      </c>
      <c r="I72" s="22">
        <f t="shared" si="48"/>
        <v>-48976230</v>
      </c>
      <c r="J72" s="41"/>
      <c r="K72" s="21">
        <f>50000000+10000000</f>
        <v>60000000</v>
      </c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43"/>
      <c r="AA72" s="21">
        <f t="shared" si="53"/>
        <v>10000000</v>
      </c>
      <c r="AB72" s="21">
        <v>44686667</v>
      </c>
      <c r="AC72" s="21"/>
      <c r="AD72" s="21"/>
      <c r="AE72" s="21"/>
      <c r="AF72" s="21">
        <f>50000000+4700669+5000000+4500000+15000000+8268206+9720688+5000000</f>
        <v>102189563</v>
      </c>
      <c r="AG72" s="23">
        <f t="shared" si="54"/>
        <v>0.91983224717618894</v>
      </c>
      <c r="AH72" s="21">
        <f t="shared" si="40"/>
        <v>199489750</v>
      </c>
      <c r="AI72" s="21"/>
      <c r="AJ72" s="21">
        <f>+'[4]Acuerdo PLAN INVERSIÓN 2021'!$J$2325</f>
        <v>60000000</v>
      </c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>
        <f>+'[1]Acuerdo PLAN INVERSIÓN 2021'!$X$5858</f>
        <v>9914671</v>
      </c>
      <c r="BA72" s="21">
        <f>+'[1]Acuerdo PLAN INVERSIÓN 2021'!$Y$5858</f>
        <v>44686498</v>
      </c>
      <c r="BB72" s="21"/>
      <c r="BC72" s="21"/>
      <c r="BD72" s="21"/>
      <c r="BE72" s="21">
        <f>+'[1]Acuerdo PLAN INVERSIÓN 2021'!$AF$5858</f>
        <v>84888581</v>
      </c>
      <c r="BF72" s="23">
        <f t="shared" ref="BF72:BF130" si="57">1-AG72</f>
        <v>8.0167752823811056E-2</v>
      </c>
      <c r="BG72" s="21">
        <f t="shared" si="41"/>
        <v>17386480</v>
      </c>
      <c r="BH72" s="21">
        <f t="shared" si="51"/>
        <v>0</v>
      </c>
      <c r="BI72" s="21">
        <f t="shared" si="51"/>
        <v>0</v>
      </c>
      <c r="BJ72" s="21">
        <f t="shared" si="51"/>
        <v>0</v>
      </c>
      <c r="BK72" s="21">
        <f t="shared" si="51"/>
        <v>0</v>
      </c>
      <c r="BL72" s="21">
        <f t="shared" si="51"/>
        <v>0</v>
      </c>
      <c r="BM72" s="21">
        <f t="shared" si="51"/>
        <v>0</v>
      </c>
      <c r="BN72" s="21">
        <f t="shared" si="51"/>
        <v>0</v>
      </c>
      <c r="BO72" s="21">
        <f t="shared" si="51"/>
        <v>0</v>
      </c>
      <c r="BP72" s="21">
        <f t="shared" si="51"/>
        <v>0</v>
      </c>
      <c r="BQ72" s="21">
        <f t="shared" si="51"/>
        <v>0</v>
      </c>
      <c r="BR72" s="21">
        <f t="shared" si="51"/>
        <v>0</v>
      </c>
      <c r="BS72" s="21">
        <f t="shared" si="51"/>
        <v>0</v>
      </c>
      <c r="BT72" s="21">
        <f t="shared" si="51"/>
        <v>0</v>
      </c>
      <c r="BU72" s="21">
        <f t="shared" si="51"/>
        <v>0</v>
      </c>
      <c r="BV72" s="21">
        <f t="shared" si="51"/>
        <v>0</v>
      </c>
      <c r="BW72" s="21">
        <f t="shared" si="49"/>
        <v>0</v>
      </c>
      <c r="BX72" s="21">
        <f t="shared" si="43"/>
        <v>0</v>
      </c>
      <c r="BY72" s="21">
        <f t="shared" si="43"/>
        <v>85329</v>
      </c>
      <c r="BZ72" s="21">
        <f t="shared" si="43"/>
        <v>169</v>
      </c>
      <c r="CA72" s="21">
        <f t="shared" si="43"/>
        <v>0</v>
      </c>
      <c r="CB72" s="21">
        <f t="shared" si="43"/>
        <v>0</v>
      </c>
      <c r="CC72" s="21">
        <f t="shared" si="43"/>
        <v>0</v>
      </c>
      <c r="CD72" s="21">
        <f t="shared" si="43"/>
        <v>17300982</v>
      </c>
      <c r="CE72" s="23">
        <f t="shared" si="55"/>
        <v>0.91983224717618894</v>
      </c>
      <c r="CF72" s="21">
        <f t="shared" si="44"/>
        <v>199489750</v>
      </c>
      <c r="CG72" s="21"/>
      <c r="CH72" s="21">
        <f>+'[4]Acuerdo PLAN INVERSIÓN 2021'!$J$2325</f>
        <v>60000000</v>
      </c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>
        <f>+'[1]Acuerdo PLAN INVERSIÓN 2021'!$X$5858</f>
        <v>9914671</v>
      </c>
      <c r="CY72" s="21">
        <f>+'[1]Acuerdo PLAN INVERSIÓN 2021'!$Y$5858</f>
        <v>44686498</v>
      </c>
      <c r="CZ72" s="21"/>
      <c r="DA72" s="21"/>
      <c r="DB72" s="21"/>
      <c r="DC72" s="21">
        <f>+'[1]Acuerdo PLAN INVERSIÓN 2021'!$AF$5858</f>
        <v>84888581</v>
      </c>
      <c r="DD72" s="23">
        <f t="shared" si="56"/>
        <v>8.0167752823811056E-2</v>
      </c>
      <c r="DE72" s="21">
        <f t="shared" si="45"/>
        <v>17386480</v>
      </c>
      <c r="DF72" s="21">
        <f t="shared" si="52"/>
        <v>0</v>
      </c>
      <c r="DG72" s="21">
        <f t="shared" si="52"/>
        <v>0</v>
      </c>
      <c r="DH72" s="21">
        <f t="shared" si="52"/>
        <v>0</v>
      </c>
      <c r="DI72" s="21">
        <f t="shared" si="52"/>
        <v>0</v>
      </c>
      <c r="DJ72" s="21">
        <f t="shared" si="52"/>
        <v>0</v>
      </c>
      <c r="DK72" s="21">
        <f t="shared" si="52"/>
        <v>0</v>
      </c>
      <c r="DL72" s="21">
        <f t="shared" si="52"/>
        <v>0</v>
      </c>
      <c r="DM72" s="21">
        <f t="shared" si="52"/>
        <v>0</v>
      </c>
      <c r="DN72" s="21">
        <f t="shared" si="52"/>
        <v>0</v>
      </c>
      <c r="DO72" s="21">
        <f t="shared" si="52"/>
        <v>0</v>
      </c>
      <c r="DP72" s="21">
        <f t="shared" si="52"/>
        <v>0</v>
      </c>
      <c r="DQ72" s="21">
        <f t="shared" si="52"/>
        <v>0</v>
      </c>
      <c r="DR72" s="21">
        <f t="shared" si="52"/>
        <v>0</v>
      </c>
      <c r="DS72" s="21">
        <f t="shared" si="52"/>
        <v>0</v>
      </c>
      <c r="DT72" s="21">
        <f t="shared" si="52"/>
        <v>0</v>
      </c>
      <c r="DU72" s="21">
        <f t="shared" si="50"/>
        <v>0</v>
      </c>
      <c r="DV72" s="21">
        <f t="shared" si="47"/>
        <v>0</v>
      </c>
      <c r="DW72" s="21">
        <f t="shared" si="47"/>
        <v>85329</v>
      </c>
      <c r="DX72" s="21">
        <f t="shared" si="47"/>
        <v>169</v>
      </c>
      <c r="DY72" s="21">
        <f t="shared" si="47"/>
        <v>0</v>
      </c>
      <c r="DZ72" s="21">
        <f t="shared" si="47"/>
        <v>0</v>
      </c>
      <c r="EA72" s="21">
        <f t="shared" si="47"/>
        <v>0</v>
      </c>
      <c r="EB72" s="21">
        <f t="shared" si="47"/>
        <v>17300982</v>
      </c>
      <c r="EE72" s="39">
        <f t="shared" si="29"/>
        <v>216876230</v>
      </c>
      <c r="EF72" s="39">
        <f t="shared" si="30"/>
        <v>199489750</v>
      </c>
    </row>
    <row r="73" spans="1:137" ht="36" hidden="1" customHeight="1" x14ac:dyDescent="0.25">
      <c r="A73" s="175"/>
      <c r="B73" s="171" t="s">
        <v>226</v>
      </c>
      <c r="C73" s="33" t="s">
        <v>227</v>
      </c>
      <c r="D73" s="18" t="s">
        <v>228</v>
      </c>
      <c r="E73" s="19">
        <v>520</v>
      </c>
      <c r="F73" s="20" t="s">
        <v>105</v>
      </c>
      <c r="G73" s="21">
        <f t="shared" si="39"/>
        <v>18000000</v>
      </c>
      <c r="H73" s="22">
        <v>130000000</v>
      </c>
      <c r="I73" s="22">
        <f t="shared" si="48"/>
        <v>112000000</v>
      </c>
      <c r="J73" s="41"/>
      <c r="K73" s="21">
        <f>20000000-12000000</f>
        <v>8000000</v>
      </c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43"/>
      <c r="AA73" s="21">
        <f t="shared" si="53"/>
        <v>10000000</v>
      </c>
      <c r="AB73" s="21"/>
      <c r="AC73" s="21"/>
      <c r="AD73" s="21"/>
      <c r="AE73" s="21"/>
      <c r="AF73" s="21"/>
      <c r="AG73" s="23">
        <f t="shared" si="54"/>
        <v>0.9999999444444444</v>
      </c>
      <c r="AH73" s="21">
        <f t="shared" si="40"/>
        <v>17999999</v>
      </c>
      <c r="AI73" s="21"/>
      <c r="AJ73" s="21">
        <f>+'[1]Acuerdo PLAN INVERSIÓN 2021'!$J$5931</f>
        <v>7999999</v>
      </c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>
        <f>+'[4]Acuerdo PLAN INVERSIÓN 2021'!$X$2364</f>
        <v>10000000</v>
      </c>
      <c r="BA73" s="21"/>
      <c r="BB73" s="21"/>
      <c r="BC73" s="21"/>
      <c r="BD73" s="21"/>
      <c r="BE73" s="21"/>
      <c r="BF73" s="23">
        <f t="shared" si="57"/>
        <v>5.5555555600328432E-8</v>
      </c>
      <c r="BG73" s="21">
        <f t="shared" si="41"/>
        <v>1</v>
      </c>
      <c r="BH73" s="21">
        <f t="shared" si="51"/>
        <v>0</v>
      </c>
      <c r="BI73" s="21">
        <f t="shared" si="51"/>
        <v>1</v>
      </c>
      <c r="BJ73" s="21">
        <f t="shared" si="51"/>
        <v>0</v>
      </c>
      <c r="BK73" s="21">
        <f t="shared" si="51"/>
        <v>0</v>
      </c>
      <c r="BL73" s="21">
        <f t="shared" si="51"/>
        <v>0</v>
      </c>
      <c r="BM73" s="21">
        <f t="shared" si="51"/>
        <v>0</v>
      </c>
      <c r="BN73" s="21">
        <f t="shared" si="51"/>
        <v>0</v>
      </c>
      <c r="BO73" s="21">
        <f t="shared" si="51"/>
        <v>0</v>
      </c>
      <c r="BP73" s="21">
        <f t="shared" si="51"/>
        <v>0</v>
      </c>
      <c r="BQ73" s="21">
        <f t="shared" si="51"/>
        <v>0</v>
      </c>
      <c r="BR73" s="21">
        <f t="shared" si="51"/>
        <v>0</v>
      </c>
      <c r="BS73" s="21">
        <f t="shared" si="51"/>
        <v>0</v>
      </c>
      <c r="BT73" s="21">
        <f t="shared" si="51"/>
        <v>0</v>
      </c>
      <c r="BU73" s="21">
        <f t="shared" si="51"/>
        <v>0</v>
      </c>
      <c r="BV73" s="21">
        <f t="shared" si="51"/>
        <v>0</v>
      </c>
      <c r="BW73" s="21">
        <f t="shared" si="49"/>
        <v>0</v>
      </c>
      <c r="BX73" s="21">
        <f t="shared" si="43"/>
        <v>0</v>
      </c>
      <c r="BY73" s="21">
        <f t="shared" si="43"/>
        <v>0</v>
      </c>
      <c r="BZ73" s="21">
        <f t="shared" si="43"/>
        <v>0</v>
      </c>
      <c r="CA73" s="21">
        <f t="shared" si="43"/>
        <v>0</v>
      </c>
      <c r="CB73" s="21">
        <f t="shared" si="43"/>
        <v>0</v>
      </c>
      <c r="CC73" s="21">
        <f t="shared" si="43"/>
        <v>0</v>
      </c>
      <c r="CD73" s="21">
        <f t="shared" si="43"/>
        <v>0</v>
      </c>
      <c r="CE73" s="23">
        <f t="shared" si="55"/>
        <v>0.9999999444444444</v>
      </c>
      <c r="CF73" s="21">
        <f t="shared" si="44"/>
        <v>17999999</v>
      </c>
      <c r="CG73" s="21"/>
      <c r="CH73" s="21">
        <f>+'[1]Acuerdo PLAN INVERSIÓN 2021'!$J$5931</f>
        <v>7999999</v>
      </c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>
        <f>+'[4]Acuerdo PLAN INVERSIÓN 2021'!$X$2364</f>
        <v>10000000</v>
      </c>
      <c r="CY73" s="21"/>
      <c r="CZ73" s="21"/>
      <c r="DA73" s="21"/>
      <c r="DB73" s="21"/>
      <c r="DC73" s="21"/>
      <c r="DD73" s="23">
        <f t="shared" si="56"/>
        <v>5.5555555600328432E-8</v>
      </c>
      <c r="DE73" s="21">
        <f t="shared" si="45"/>
        <v>1</v>
      </c>
      <c r="DF73" s="21">
        <f t="shared" si="52"/>
        <v>0</v>
      </c>
      <c r="DG73" s="21">
        <f t="shared" si="52"/>
        <v>1</v>
      </c>
      <c r="DH73" s="21">
        <f t="shared" si="52"/>
        <v>0</v>
      </c>
      <c r="DI73" s="21">
        <f t="shared" si="52"/>
        <v>0</v>
      </c>
      <c r="DJ73" s="21">
        <f t="shared" si="52"/>
        <v>0</v>
      </c>
      <c r="DK73" s="21">
        <f t="shared" si="52"/>
        <v>0</v>
      </c>
      <c r="DL73" s="21">
        <f t="shared" si="52"/>
        <v>0</v>
      </c>
      <c r="DM73" s="21">
        <f t="shared" si="52"/>
        <v>0</v>
      </c>
      <c r="DN73" s="21">
        <f t="shared" si="52"/>
        <v>0</v>
      </c>
      <c r="DO73" s="21">
        <f t="shared" si="52"/>
        <v>0</v>
      </c>
      <c r="DP73" s="21">
        <f t="shared" si="52"/>
        <v>0</v>
      </c>
      <c r="DQ73" s="21">
        <f t="shared" si="52"/>
        <v>0</v>
      </c>
      <c r="DR73" s="21">
        <f t="shared" si="52"/>
        <v>0</v>
      </c>
      <c r="DS73" s="21">
        <f t="shared" si="52"/>
        <v>0</v>
      </c>
      <c r="DT73" s="21">
        <f t="shared" si="52"/>
        <v>0</v>
      </c>
      <c r="DU73" s="21">
        <f t="shared" si="50"/>
        <v>0</v>
      </c>
      <c r="DV73" s="21">
        <f t="shared" si="47"/>
        <v>0</v>
      </c>
      <c r="DW73" s="21">
        <f t="shared" si="47"/>
        <v>0</v>
      </c>
      <c r="DX73" s="21">
        <f t="shared" si="47"/>
        <v>0</v>
      </c>
      <c r="DY73" s="21">
        <f t="shared" si="47"/>
        <v>0</v>
      </c>
      <c r="DZ73" s="21">
        <f t="shared" si="47"/>
        <v>0</v>
      </c>
      <c r="EA73" s="21">
        <f t="shared" si="47"/>
        <v>0</v>
      </c>
      <c r="EB73" s="21">
        <f t="shared" si="47"/>
        <v>0</v>
      </c>
      <c r="EE73" s="39">
        <f t="shared" si="29"/>
        <v>18000000</v>
      </c>
      <c r="EF73" s="39">
        <f t="shared" si="30"/>
        <v>17999999</v>
      </c>
    </row>
    <row r="74" spans="1:137" ht="34.5" hidden="1" customHeight="1" x14ac:dyDescent="0.25">
      <c r="A74" s="175"/>
      <c r="B74" s="172"/>
      <c r="C74" s="33" t="s">
        <v>229</v>
      </c>
      <c r="D74" s="53" t="s">
        <v>230</v>
      </c>
      <c r="E74" s="19">
        <v>520</v>
      </c>
      <c r="F74" s="20" t="s">
        <v>105</v>
      </c>
      <c r="G74" s="21">
        <f t="shared" si="39"/>
        <v>15660000</v>
      </c>
      <c r="H74" s="22">
        <v>10000000</v>
      </c>
      <c r="I74" s="22">
        <f t="shared" si="48"/>
        <v>-5660000</v>
      </c>
      <c r="J74" s="41"/>
      <c r="K74" s="21">
        <f>5000000+10000000-15000000+5660000</f>
        <v>5660000</v>
      </c>
      <c r="L74" s="43"/>
      <c r="M74" s="43"/>
      <c r="N74" s="43"/>
      <c r="O74" s="43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43"/>
      <c r="AA74" s="21">
        <f t="shared" si="53"/>
        <v>10000000</v>
      </c>
      <c r="AB74" s="21"/>
      <c r="AC74" s="21"/>
      <c r="AD74" s="21"/>
      <c r="AE74" s="21"/>
      <c r="AF74" s="21"/>
      <c r="AG74" s="23">
        <f t="shared" si="54"/>
        <v>0.23563218390804597</v>
      </c>
      <c r="AH74" s="21">
        <f t="shared" si="40"/>
        <v>3690000</v>
      </c>
      <c r="AI74" s="21"/>
      <c r="AJ74" s="21">
        <f>+'[1]Acuerdo PLAN INVERSIÓN 2021'!$J$5945</f>
        <v>690000</v>
      </c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>
        <f>+'[1]Acuerdo PLAN INVERSIÓN 2021'!$X$5945</f>
        <v>3000000</v>
      </c>
      <c r="BA74" s="21"/>
      <c r="BB74" s="21"/>
      <c r="BC74" s="21"/>
      <c r="BD74" s="21"/>
      <c r="BE74" s="21"/>
      <c r="BF74" s="23">
        <f t="shared" si="57"/>
        <v>0.76436781609195403</v>
      </c>
      <c r="BG74" s="21">
        <f t="shared" si="41"/>
        <v>11970000</v>
      </c>
      <c r="BH74" s="21">
        <f t="shared" si="51"/>
        <v>0</v>
      </c>
      <c r="BI74" s="21">
        <f t="shared" si="51"/>
        <v>4970000</v>
      </c>
      <c r="BJ74" s="21">
        <f t="shared" si="51"/>
        <v>0</v>
      </c>
      <c r="BK74" s="21">
        <f t="shared" si="51"/>
        <v>0</v>
      </c>
      <c r="BL74" s="21">
        <f t="shared" si="51"/>
        <v>0</v>
      </c>
      <c r="BM74" s="21">
        <f t="shared" si="51"/>
        <v>0</v>
      </c>
      <c r="BN74" s="21">
        <f t="shared" si="51"/>
        <v>0</v>
      </c>
      <c r="BO74" s="21">
        <f t="shared" si="51"/>
        <v>0</v>
      </c>
      <c r="BP74" s="21">
        <f t="shared" si="51"/>
        <v>0</v>
      </c>
      <c r="BQ74" s="21">
        <f t="shared" si="51"/>
        <v>0</v>
      </c>
      <c r="BR74" s="21">
        <f t="shared" si="51"/>
        <v>0</v>
      </c>
      <c r="BS74" s="21">
        <f t="shared" si="51"/>
        <v>0</v>
      </c>
      <c r="BT74" s="21">
        <f t="shared" si="51"/>
        <v>0</v>
      </c>
      <c r="BU74" s="21">
        <f t="shared" si="51"/>
        <v>0</v>
      </c>
      <c r="BV74" s="21">
        <f t="shared" si="51"/>
        <v>0</v>
      </c>
      <c r="BW74" s="21">
        <f t="shared" si="49"/>
        <v>0</v>
      </c>
      <c r="BX74" s="21">
        <f t="shared" si="43"/>
        <v>0</v>
      </c>
      <c r="BY74" s="21">
        <f t="shared" si="43"/>
        <v>7000000</v>
      </c>
      <c r="BZ74" s="21">
        <f t="shared" si="43"/>
        <v>0</v>
      </c>
      <c r="CA74" s="21">
        <f t="shared" si="43"/>
        <v>0</v>
      </c>
      <c r="CB74" s="21">
        <f t="shared" si="43"/>
        <v>0</v>
      </c>
      <c r="CC74" s="21">
        <f t="shared" si="43"/>
        <v>0</v>
      </c>
      <c r="CD74" s="21">
        <f t="shared" si="43"/>
        <v>0</v>
      </c>
      <c r="CE74" s="23">
        <f t="shared" si="55"/>
        <v>0.23563218390804597</v>
      </c>
      <c r="CF74" s="21">
        <f t="shared" si="44"/>
        <v>3690000</v>
      </c>
      <c r="CG74" s="21"/>
      <c r="CH74" s="21">
        <f>+'[1]Acuerdo PLAN INVERSIÓN 2021'!$J$5945</f>
        <v>690000</v>
      </c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>
        <f>+'[1]Acuerdo PLAN INVERSIÓN 2021'!$X$5945</f>
        <v>3000000</v>
      </c>
      <c r="CY74" s="21"/>
      <c r="CZ74" s="21"/>
      <c r="DA74" s="21"/>
      <c r="DB74" s="21"/>
      <c r="DC74" s="21"/>
      <c r="DD74" s="23">
        <f t="shared" si="56"/>
        <v>0.76436781609195403</v>
      </c>
      <c r="DE74" s="21">
        <f t="shared" si="45"/>
        <v>11970000</v>
      </c>
      <c r="DF74" s="21">
        <f t="shared" si="52"/>
        <v>0</v>
      </c>
      <c r="DG74" s="21">
        <f t="shared" si="52"/>
        <v>4970000</v>
      </c>
      <c r="DH74" s="21">
        <f t="shared" si="52"/>
        <v>0</v>
      </c>
      <c r="DI74" s="21">
        <f t="shared" si="52"/>
        <v>0</v>
      </c>
      <c r="DJ74" s="21">
        <f t="shared" si="52"/>
        <v>0</v>
      </c>
      <c r="DK74" s="21">
        <f t="shared" si="52"/>
        <v>0</v>
      </c>
      <c r="DL74" s="21">
        <f t="shared" si="52"/>
        <v>0</v>
      </c>
      <c r="DM74" s="21">
        <f t="shared" si="52"/>
        <v>0</v>
      </c>
      <c r="DN74" s="21">
        <f t="shared" si="52"/>
        <v>0</v>
      </c>
      <c r="DO74" s="21">
        <f t="shared" si="52"/>
        <v>0</v>
      </c>
      <c r="DP74" s="21">
        <f t="shared" si="52"/>
        <v>0</v>
      </c>
      <c r="DQ74" s="21">
        <f t="shared" si="52"/>
        <v>0</v>
      </c>
      <c r="DR74" s="21">
        <f t="shared" si="52"/>
        <v>0</v>
      </c>
      <c r="DS74" s="21">
        <f t="shared" si="52"/>
        <v>0</v>
      </c>
      <c r="DT74" s="21">
        <f t="shared" si="52"/>
        <v>0</v>
      </c>
      <c r="DU74" s="21">
        <f t="shared" si="50"/>
        <v>0</v>
      </c>
      <c r="DV74" s="21">
        <f t="shared" si="47"/>
        <v>0</v>
      </c>
      <c r="DW74" s="21">
        <f t="shared" si="47"/>
        <v>7000000</v>
      </c>
      <c r="DX74" s="21">
        <f t="shared" si="47"/>
        <v>0</v>
      </c>
      <c r="DY74" s="21">
        <f t="shared" si="47"/>
        <v>0</v>
      </c>
      <c r="DZ74" s="21">
        <f t="shared" si="47"/>
        <v>0</v>
      </c>
      <c r="EA74" s="21">
        <f t="shared" si="47"/>
        <v>0</v>
      </c>
      <c r="EB74" s="21">
        <f t="shared" si="47"/>
        <v>0</v>
      </c>
      <c r="EE74" s="39">
        <f t="shared" si="29"/>
        <v>15660000</v>
      </c>
      <c r="EF74" s="39">
        <f t="shared" si="30"/>
        <v>3690000</v>
      </c>
    </row>
    <row r="75" spans="1:137" ht="33" hidden="1" customHeight="1" x14ac:dyDescent="0.25">
      <c r="A75" s="175"/>
      <c r="B75" s="172"/>
      <c r="C75" s="33" t="s">
        <v>231</v>
      </c>
      <c r="D75" s="53" t="s">
        <v>232</v>
      </c>
      <c r="E75" s="19">
        <v>520</v>
      </c>
      <c r="F75" s="20" t="s">
        <v>105</v>
      </c>
      <c r="G75" s="21">
        <f t="shared" si="39"/>
        <v>10000000</v>
      </c>
      <c r="H75" s="22">
        <v>8000000</v>
      </c>
      <c r="I75" s="22">
        <f t="shared" si="48"/>
        <v>-2000000</v>
      </c>
      <c r="J75" s="41"/>
      <c r="K75" s="21"/>
      <c r="L75" s="43"/>
      <c r="M75" s="43"/>
      <c r="N75" s="43"/>
      <c r="O75" s="43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43"/>
      <c r="AA75" s="21">
        <f t="shared" si="53"/>
        <v>10000000</v>
      </c>
      <c r="AB75" s="21"/>
      <c r="AC75" s="21"/>
      <c r="AD75" s="21"/>
      <c r="AE75" s="21"/>
      <c r="AF75" s="21"/>
      <c r="AG75" s="23">
        <f t="shared" si="54"/>
        <v>0.49570750000000002</v>
      </c>
      <c r="AH75" s="21">
        <f t="shared" si="40"/>
        <v>4957075</v>
      </c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>
        <f>+'[1]Acuerdo PLAN INVERSIÓN 2021'!$X$5966</f>
        <v>4957075</v>
      </c>
      <c r="BA75" s="21"/>
      <c r="BB75" s="21"/>
      <c r="BC75" s="21"/>
      <c r="BD75" s="21"/>
      <c r="BE75" s="21"/>
      <c r="BF75" s="23">
        <f t="shared" si="57"/>
        <v>0.50429250000000003</v>
      </c>
      <c r="BG75" s="21">
        <f t="shared" si="41"/>
        <v>5042925</v>
      </c>
      <c r="BH75" s="21">
        <f t="shared" si="51"/>
        <v>0</v>
      </c>
      <c r="BI75" s="21">
        <f t="shared" si="51"/>
        <v>0</v>
      </c>
      <c r="BJ75" s="21">
        <f t="shared" si="51"/>
        <v>0</v>
      </c>
      <c r="BK75" s="21">
        <f t="shared" si="51"/>
        <v>0</v>
      </c>
      <c r="BL75" s="21">
        <f t="shared" si="51"/>
        <v>0</v>
      </c>
      <c r="BM75" s="21">
        <f t="shared" si="51"/>
        <v>0</v>
      </c>
      <c r="BN75" s="21">
        <f t="shared" si="51"/>
        <v>0</v>
      </c>
      <c r="BO75" s="21">
        <f t="shared" si="51"/>
        <v>0</v>
      </c>
      <c r="BP75" s="21">
        <f t="shared" si="51"/>
        <v>0</v>
      </c>
      <c r="BQ75" s="21">
        <f t="shared" si="51"/>
        <v>0</v>
      </c>
      <c r="BR75" s="21">
        <f t="shared" si="51"/>
        <v>0</v>
      </c>
      <c r="BS75" s="21">
        <f t="shared" si="51"/>
        <v>0</v>
      </c>
      <c r="BT75" s="21">
        <f t="shared" si="51"/>
        <v>0</v>
      </c>
      <c r="BU75" s="21">
        <f t="shared" si="51"/>
        <v>0</v>
      </c>
      <c r="BV75" s="21">
        <f t="shared" si="51"/>
        <v>0</v>
      </c>
      <c r="BW75" s="21">
        <f t="shared" si="49"/>
        <v>0</v>
      </c>
      <c r="BX75" s="21">
        <f t="shared" si="43"/>
        <v>0</v>
      </c>
      <c r="BY75" s="21">
        <f t="shared" si="43"/>
        <v>5042925</v>
      </c>
      <c r="BZ75" s="21">
        <f t="shared" si="43"/>
        <v>0</v>
      </c>
      <c r="CA75" s="21">
        <f t="shared" si="43"/>
        <v>0</v>
      </c>
      <c r="CB75" s="21">
        <f t="shared" si="43"/>
        <v>0</v>
      </c>
      <c r="CC75" s="21">
        <f t="shared" si="43"/>
        <v>0</v>
      </c>
      <c r="CD75" s="21">
        <f t="shared" si="43"/>
        <v>0</v>
      </c>
      <c r="CE75" s="23">
        <f t="shared" si="55"/>
        <v>0.49570750000000002</v>
      </c>
      <c r="CF75" s="21">
        <f t="shared" si="44"/>
        <v>4957075</v>
      </c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>
        <f>+'[1]Acuerdo PLAN INVERSIÓN 2021'!$X$5966</f>
        <v>4957075</v>
      </c>
      <c r="CY75" s="21"/>
      <c r="CZ75" s="21"/>
      <c r="DA75" s="21"/>
      <c r="DB75" s="21"/>
      <c r="DC75" s="21"/>
      <c r="DD75" s="23">
        <f t="shared" si="56"/>
        <v>0.50429250000000003</v>
      </c>
      <c r="DE75" s="21">
        <f t="shared" si="45"/>
        <v>5042925</v>
      </c>
      <c r="DF75" s="21">
        <f t="shared" si="52"/>
        <v>0</v>
      </c>
      <c r="DG75" s="21">
        <f t="shared" si="52"/>
        <v>0</v>
      </c>
      <c r="DH75" s="21">
        <f t="shared" si="52"/>
        <v>0</v>
      </c>
      <c r="DI75" s="21">
        <f t="shared" si="52"/>
        <v>0</v>
      </c>
      <c r="DJ75" s="21">
        <f t="shared" si="52"/>
        <v>0</v>
      </c>
      <c r="DK75" s="21">
        <f t="shared" si="52"/>
        <v>0</v>
      </c>
      <c r="DL75" s="21">
        <f t="shared" si="52"/>
        <v>0</v>
      </c>
      <c r="DM75" s="21">
        <f t="shared" si="52"/>
        <v>0</v>
      </c>
      <c r="DN75" s="21">
        <f t="shared" si="52"/>
        <v>0</v>
      </c>
      <c r="DO75" s="21">
        <f t="shared" si="52"/>
        <v>0</v>
      </c>
      <c r="DP75" s="21">
        <f t="shared" si="52"/>
        <v>0</v>
      </c>
      <c r="DQ75" s="21">
        <f t="shared" si="52"/>
        <v>0</v>
      </c>
      <c r="DR75" s="21">
        <f t="shared" si="52"/>
        <v>0</v>
      </c>
      <c r="DS75" s="21">
        <f t="shared" si="52"/>
        <v>0</v>
      </c>
      <c r="DT75" s="21">
        <f t="shared" si="52"/>
        <v>0</v>
      </c>
      <c r="DU75" s="21">
        <f t="shared" si="50"/>
        <v>0</v>
      </c>
      <c r="DV75" s="21">
        <f t="shared" si="47"/>
        <v>0</v>
      </c>
      <c r="DW75" s="21">
        <f t="shared" si="47"/>
        <v>5042925</v>
      </c>
      <c r="DX75" s="21">
        <f t="shared" si="47"/>
        <v>0</v>
      </c>
      <c r="DY75" s="21">
        <f t="shared" si="47"/>
        <v>0</v>
      </c>
      <c r="DZ75" s="21">
        <f t="shared" si="47"/>
        <v>0</v>
      </c>
      <c r="EA75" s="21">
        <f t="shared" si="47"/>
        <v>0</v>
      </c>
      <c r="EB75" s="21">
        <f t="shared" si="47"/>
        <v>0</v>
      </c>
      <c r="EE75" s="39">
        <f t="shared" si="29"/>
        <v>10000000</v>
      </c>
      <c r="EF75" s="39">
        <f t="shared" si="30"/>
        <v>4957075</v>
      </c>
    </row>
    <row r="76" spans="1:137" ht="36" hidden="1" customHeight="1" x14ac:dyDescent="0.25">
      <c r="A76" s="175"/>
      <c r="B76" s="173"/>
      <c r="C76" s="33" t="s">
        <v>233</v>
      </c>
      <c r="D76" s="53" t="s">
        <v>234</v>
      </c>
      <c r="E76" s="19">
        <v>520</v>
      </c>
      <c r="F76" s="20" t="s">
        <v>105</v>
      </c>
      <c r="G76" s="21">
        <f t="shared" si="39"/>
        <v>39340000</v>
      </c>
      <c r="H76" s="22">
        <v>25000000</v>
      </c>
      <c r="I76" s="22">
        <f t="shared" si="48"/>
        <v>-14340000</v>
      </c>
      <c r="J76" s="41"/>
      <c r="K76" s="21">
        <f>30000000+5000000-5660000</f>
        <v>29340000</v>
      </c>
      <c r="L76" s="43"/>
      <c r="M76" s="43"/>
      <c r="N76" s="43"/>
      <c r="O76" s="43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43"/>
      <c r="AA76" s="21">
        <f t="shared" si="53"/>
        <v>10000000</v>
      </c>
      <c r="AB76" s="21"/>
      <c r="AC76" s="21"/>
      <c r="AD76" s="21"/>
      <c r="AE76" s="21"/>
      <c r="AF76" s="21"/>
      <c r="AG76" s="23">
        <f t="shared" si="54"/>
        <v>0.87290274529740719</v>
      </c>
      <c r="AH76" s="21">
        <f t="shared" si="40"/>
        <v>34339994</v>
      </c>
      <c r="AI76" s="21"/>
      <c r="AJ76" s="21">
        <f>+'[1]Acuerdo PLAN INVERSIÓN 2021'!$J$5975</f>
        <v>29339994</v>
      </c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>
        <f>+'[1]Acuerdo PLAN INVERSIÓN 2021'!$X$5975</f>
        <v>5000000</v>
      </c>
      <c r="BA76" s="21"/>
      <c r="BB76" s="21"/>
      <c r="BC76" s="21"/>
      <c r="BD76" s="21"/>
      <c r="BE76" s="21"/>
      <c r="BF76" s="23">
        <f t="shared" si="57"/>
        <v>0.12709725470259281</v>
      </c>
      <c r="BG76" s="21">
        <f t="shared" si="41"/>
        <v>5000006</v>
      </c>
      <c r="BH76" s="21">
        <f t="shared" si="51"/>
        <v>0</v>
      </c>
      <c r="BI76" s="21">
        <f t="shared" si="51"/>
        <v>6</v>
      </c>
      <c r="BJ76" s="21">
        <f t="shared" si="51"/>
        <v>0</v>
      </c>
      <c r="BK76" s="21">
        <f t="shared" si="51"/>
        <v>0</v>
      </c>
      <c r="BL76" s="21">
        <f t="shared" si="51"/>
        <v>0</v>
      </c>
      <c r="BM76" s="21">
        <f t="shared" si="51"/>
        <v>0</v>
      </c>
      <c r="BN76" s="21">
        <f t="shared" si="51"/>
        <v>0</v>
      </c>
      <c r="BO76" s="21">
        <f t="shared" si="51"/>
        <v>0</v>
      </c>
      <c r="BP76" s="21">
        <f t="shared" si="51"/>
        <v>0</v>
      </c>
      <c r="BQ76" s="21">
        <f t="shared" si="51"/>
        <v>0</v>
      </c>
      <c r="BR76" s="21">
        <f t="shared" si="51"/>
        <v>0</v>
      </c>
      <c r="BS76" s="21">
        <f t="shared" si="51"/>
        <v>0</v>
      </c>
      <c r="BT76" s="21">
        <f t="shared" si="51"/>
        <v>0</v>
      </c>
      <c r="BU76" s="21">
        <f t="shared" si="51"/>
        <v>0</v>
      </c>
      <c r="BV76" s="21">
        <f t="shared" si="51"/>
        <v>0</v>
      </c>
      <c r="BW76" s="21">
        <f t="shared" si="49"/>
        <v>0</v>
      </c>
      <c r="BX76" s="21">
        <f t="shared" si="43"/>
        <v>0</v>
      </c>
      <c r="BY76" s="21">
        <f t="shared" si="43"/>
        <v>5000000</v>
      </c>
      <c r="BZ76" s="21">
        <f t="shared" si="43"/>
        <v>0</v>
      </c>
      <c r="CA76" s="21">
        <f t="shared" si="43"/>
        <v>0</v>
      </c>
      <c r="CB76" s="21">
        <f t="shared" si="43"/>
        <v>0</v>
      </c>
      <c r="CC76" s="21">
        <f t="shared" si="43"/>
        <v>0</v>
      </c>
      <c r="CD76" s="21">
        <f t="shared" si="43"/>
        <v>0</v>
      </c>
      <c r="CE76" s="23">
        <f t="shared" si="55"/>
        <v>0.87290274529740719</v>
      </c>
      <c r="CF76" s="21">
        <f t="shared" si="44"/>
        <v>34339994</v>
      </c>
      <c r="CG76" s="21"/>
      <c r="CH76" s="21">
        <f>+'[1]Acuerdo PLAN INVERSIÓN 2021'!$J$5975</f>
        <v>29339994</v>
      </c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>
        <f>+'[1]Acuerdo PLAN INVERSIÓN 2021'!$X$5975</f>
        <v>5000000</v>
      </c>
      <c r="CY76" s="21"/>
      <c r="CZ76" s="21"/>
      <c r="DA76" s="21"/>
      <c r="DB76" s="21"/>
      <c r="DC76" s="21"/>
      <c r="DD76" s="23">
        <f t="shared" si="56"/>
        <v>0.12709725470259281</v>
      </c>
      <c r="DE76" s="21">
        <f t="shared" si="45"/>
        <v>5000006</v>
      </c>
      <c r="DF76" s="21">
        <f t="shared" si="52"/>
        <v>0</v>
      </c>
      <c r="DG76" s="21">
        <f t="shared" si="52"/>
        <v>6</v>
      </c>
      <c r="DH76" s="21">
        <f t="shared" si="52"/>
        <v>0</v>
      </c>
      <c r="DI76" s="21">
        <f t="shared" si="52"/>
        <v>0</v>
      </c>
      <c r="DJ76" s="21">
        <f t="shared" si="52"/>
        <v>0</v>
      </c>
      <c r="DK76" s="21">
        <f t="shared" si="52"/>
        <v>0</v>
      </c>
      <c r="DL76" s="21">
        <f t="shared" si="52"/>
        <v>0</v>
      </c>
      <c r="DM76" s="21">
        <f t="shared" si="52"/>
        <v>0</v>
      </c>
      <c r="DN76" s="21">
        <f t="shared" si="52"/>
        <v>0</v>
      </c>
      <c r="DO76" s="21">
        <f t="shared" si="52"/>
        <v>0</v>
      </c>
      <c r="DP76" s="21">
        <f t="shared" si="52"/>
        <v>0</v>
      </c>
      <c r="DQ76" s="21">
        <f t="shared" si="52"/>
        <v>0</v>
      </c>
      <c r="DR76" s="21">
        <f t="shared" si="52"/>
        <v>0</v>
      </c>
      <c r="DS76" s="21">
        <f t="shared" si="52"/>
        <v>0</v>
      </c>
      <c r="DT76" s="21">
        <f t="shared" si="52"/>
        <v>0</v>
      </c>
      <c r="DU76" s="21">
        <f t="shared" si="50"/>
        <v>0</v>
      </c>
      <c r="DV76" s="21">
        <f t="shared" si="47"/>
        <v>0</v>
      </c>
      <c r="DW76" s="21">
        <f t="shared" si="47"/>
        <v>5000000</v>
      </c>
      <c r="DX76" s="21">
        <f t="shared" si="47"/>
        <v>0</v>
      </c>
      <c r="DY76" s="21">
        <f t="shared" si="47"/>
        <v>0</v>
      </c>
      <c r="DZ76" s="21">
        <f t="shared" si="47"/>
        <v>0</v>
      </c>
      <c r="EA76" s="21">
        <f t="shared" si="47"/>
        <v>0</v>
      </c>
      <c r="EB76" s="21">
        <f t="shared" si="47"/>
        <v>0</v>
      </c>
      <c r="EE76" s="39">
        <f t="shared" si="29"/>
        <v>39340000</v>
      </c>
      <c r="EF76" s="39">
        <f t="shared" si="30"/>
        <v>34339994</v>
      </c>
    </row>
    <row r="77" spans="1:137" ht="24.75" hidden="1" customHeight="1" x14ac:dyDescent="0.25">
      <c r="A77" s="175"/>
      <c r="B77" s="54" t="s">
        <v>235</v>
      </c>
      <c r="C77" s="33" t="s">
        <v>236</v>
      </c>
      <c r="D77" s="54" t="s">
        <v>237</v>
      </c>
      <c r="E77" s="19">
        <v>520</v>
      </c>
      <c r="F77" s="20" t="s">
        <v>105</v>
      </c>
      <c r="G77" s="21">
        <f t="shared" si="39"/>
        <v>0</v>
      </c>
      <c r="H77" s="22">
        <v>173643500</v>
      </c>
      <c r="I77" s="22">
        <f t="shared" si="48"/>
        <v>173643500</v>
      </c>
      <c r="J77" s="41"/>
      <c r="K77" s="21">
        <f>1000000-1000000</f>
        <v>0</v>
      </c>
      <c r="L77" s="43"/>
      <c r="M77" s="43"/>
      <c r="N77" s="55"/>
      <c r="O77" s="43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3"/>
      <c r="AA77" s="21"/>
      <c r="AB77" s="21"/>
      <c r="AC77" s="41"/>
      <c r="AD77" s="41"/>
      <c r="AE77" s="41"/>
      <c r="AF77" s="21"/>
      <c r="AG77" s="23">
        <v>0</v>
      </c>
      <c r="AH77" s="21">
        <f t="shared" si="40"/>
        <v>0</v>
      </c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3">
        <f t="shared" si="57"/>
        <v>1</v>
      </c>
      <c r="BG77" s="21">
        <f t="shared" si="41"/>
        <v>0</v>
      </c>
      <c r="BH77" s="21">
        <f t="shared" si="51"/>
        <v>0</v>
      </c>
      <c r="BI77" s="21">
        <f t="shared" si="51"/>
        <v>0</v>
      </c>
      <c r="BJ77" s="21">
        <f t="shared" si="51"/>
        <v>0</v>
      </c>
      <c r="BK77" s="21">
        <f t="shared" si="51"/>
        <v>0</v>
      </c>
      <c r="BL77" s="21">
        <f t="shared" si="51"/>
        <v>0</v>
      </c>
      <c r="BM77" s="21">
        <f t="shared" si="51"/>
        <v>0</v>
      </c>
      <c r="BN77" s="21">
        <f t="shared" si="51"/>
        <v>0</v>
      </c>
      <c r="BO77" s="21">
        <f t="shared" si="51"/>
        <v>0</v>
      </c>
      <c r="BP77" s="21">
        <f t="shared" si="51"/>
        <v>0</v>
      </c>
      <c r="BQ77" s="21">
        <f t="shared" si="51"/>
        <v>0</v>
      </c>
      <c r="BR77" s="21">
        <f t="shared" si="51"/>
        <v>0</v>
      </c>
      <c r="BS77" s="21">
        <f t="shared" si="51"/>
        <v>0</v>
      </c>
      <c r="BT77" s="21">
        <f t="shared" si="51"/>
        <v>0</v>
      </c>
      <c r="BU77" s="21">
        <f t="shared" si="51"/>
        <v>0</v>
      </c>
      <c r="BV77" s="21">
        <f t="shared" si="51"/>
        <v>0</v>
      </c>
      <c r="BW77" s="21">
        <f t="shared" si="49"/>
        <v>0</v>
      </c>
      <c r="BX77" s="21">
        <f t="shared" si="43"/>
        <v>0</v>
      </c>
      <c r="BY77" s="21">
        <f t="shared" si="43"/>
        <v>0</v>
      </c>
      <c r="BZ77" s="21">
        <f t="shared" si="43"/>
        <v>0</v>
      </c>
      <c r="CA77" s="21">
        <f t="shared" si="43"/>
        <v>0</v>
      </c>
      <c r="CB77" s="21">
        <f t="shared" si="43"/>
        <v>0</v>
      </c>
      <c r="CC77" s="21">
        <f t="shared" si="43"/>
        <v>0</v>
      </c>
      <c r="CD77" s="21">
        <f t="shared" si="43"/>
        <v>0</v>
      </c>
      <c r="CE77" s="23">
        <v>0</v>
      </c>
      <c r="CF77" s="21">
        <f t="shared" si="44"/>
        <v>0</v>
      </c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3">
        <f t="shared" si="56"/>
        <v>1</v>
      </c>
      <c r="DE77" s="21">
        <f t="shared" si="45"/>
        <v>0</v>
      </c>
      <c r="DF77" s="21">
        <f t="shared" si="52"/>
        <v>0</v>
      </c>
      <c r="DG77" s="21">
        <f t="shared" si="52"/>
        <v>0</v>
      </c>
      <c r="DH77" s="21">
        <f t="shared" si="52"/>
        <v>0</v>
      </c>
      <c r="DI77" s="21">
        <f t="shared" si="52"/>
        <v>0</v>
      </c>
      <c r="DJ77" s="21">
        <f t="shared" si="52"/>
        <v>0</v>
      </c>
      <c r="DK77" s="21">
        <f t="shared" si="52"/>
        <v>0</v>
      </c>
      <c r="DL77" s="21">
        <f t="shared" si="52"/>
        <v>0</v>
      </c>
      <c r="DM77" s="21">
        <f t="shared" si="52"/>
        <v>0</v>
      </c>
      <c r="DN77" s="21">
        <f t="shared" si="52"/>
        <v>0</v>
      </c>
      <c r="DO77" s="21">
        <f t="shared" si="52"/>
        <v>0</v>
      </c>
      <c r="DP77" s="21">
        <f t="shared" si="52"/>
        <v>0</v>
      </c>
      <c r="DQ77" s="21">
        <f t="shared" si="52"/>
        <v>0</v>
      </c>
      <c r="DR77" s="21">
        <f t="shared" si="52"/>
        <v>0</v>
      </c>
      <c r="DS77" s="21">
        <f t="shared" si="52"/>
        <v>0</v>
      </c>
      <c r="DT77" s="21">
        <f t="shared" si="52"/>
        <v>0</v>
      </c>
      <c r="DU77" s="21">
        <f t="shared" si="50"/>
        <v>0</v>
      </c>
      <c r="DV77" s="21">
        <f t="shared" si="47"/>
        <v>0</v>
      </c>
      <c r="DW77" s="21">
        <f t="shared" si="47"/>
        <v>0</v>
      </c>
      <c r="DX77" s="21">
        <f t="shared" si="47"/>
        <v>0</v>
      </c>
      <c r="DY77" s="21">
        <f t="shared" si="47"/>
        <v>0</v>
      </c>
      <c r="DZ77" s="21">
        <f t="shared" si="47"/>
        <v>0</v>
      </c>
      <c r="EA77" s="21">
        <f t="shared" si="47"/>
        <v>0</v>
      </c>
      <c r="EB77" s="21">
        <f t="shared" si="47"/>
        <v>0</v>
      </c>
      <c r="EE77" s="39">
        <f t="shared" si="29"/>
        <v>0</v>
      </c>
      <c r="EF77" s="39">
        <f t="shared" si="30"/>
        <v>0</v>
      </c>
      <c r="EG77" s="134">
        <f>+CE77</f>
        <v>0</v>
      </c>
    </row>
    <row r="78" spans="1:137" s="38" customFormat="1" ht="16.95" customHeight="1" thickTop="1" thickBot="1" x14ac:dyDescent="0.35">
      <c r="A78" s="56"/>
      <c r="B78" s="213" t="s">
        <v>238</v>
      </c>
      <c r="C78" s="214"/>
      <c r="D78" s="214"/>
      <c r="E78" s="215"/>
      <c r="F78" s="130"/>
      <c r="G78" s="125">
        <f t="shared" ref="G78:AF78" si="58">SUM(G52:G77)</f>
        <v>4269690683</v>
      </c>
      <c r="H78" s="126">
        <f t="shared" si="58"/>
        <v>6393503250</v>
      </c>
      <c r="I78" s="126">
        <f t="shared" si="58"/>
        <v>2123812567</v>
      </c>
      <c r="J78" s="125">
        <f t="shared" si="58"/>
        <v>0</v>
      </c>
      <c r="K78" s="125">
        <f t="shared" si="58"/>
        <v>1085174278</v>
      </c>
      <c r="L78" s="125">
        <f t="shared" si="58"/>
        <v>0</v>
      </c>
      <c r="M78" s="125">
        <f t="shared" si="58"/>
        <v>0</v>
      </c>
      <c r="N78" s="125">
        <f t="shared" si="58"/>
        <v>0</v>
      </c>
      <c r="O78" s="125">
        <f t="shared" si="58"/>
        <v>167645552</v>
      </c>
      <c r="P78" s="125">
        <f t="shared" si="58"/>
        <v>0</v>
      </c>
      <c r="Q78" s="125">
        <f t="shared" si="58"/>
        <v>0</v>
      </c>
      <c r="R78" s="125">
        <f t="shared" si="58"/>
        <v>0</v>
      </c>
      <c r="S78" s="125">
        <f t="shared" si="58"/>
        <v>0</v>
      </c>
      <c r="T78" s="125">
        <f t="shared" si="58"/>
        <v>0</v>
      </c>
      <c r="U78" s="125">
        <f t="shared" si="58"/>
        <v>0</v>
      </c>
      <c r="V78" s="125">
        <f t="shared" si="58"/>
        <v>0</v>
      </c>
      <c r="W78" s="125">
        <f t="shared" si="58"/>
        <v>0</v>
      </c>
      <c r="X78" s="125">
        <f t="shared" si="58"/>
        <v>0</v>
      </c>
      <c r="Y78" s="125">
        <f t="shared" si="58"/>
        <v>1374625000</v>
      </c>
      <c r="Z78" s="125">
        <f t="shared" si="58"/>
        <v>0</v>
      </c>
      <c r="AA78" s="125">
        <f t="shared" si="58"/>
        <v>427766866</v>
      </c>
      <c r="AB78" s="125">
        <f t="shared" si="58"/>
        <v>197412271</v>
      </c>
      <c r="AC78" s="125">
        <f t="shared" si="58"/>
        <v>0</v>
      </c>
      <c r="AD78" s="125">
        <f t="shared" si="58"/>
        <v>0</v>
      </c>
      <c r="AE78" s="125">
        <f t="shared" si="58"/>
        <v>0</v>
      </c>
      <c r="AF78" s="125">
        <f t="shared" si="58"/>
        <v>1017066716</v>
      </c>
      <c r="AG78" s="123">
        <f t="shared" si="54"/>
        <v>0.82320903549162328</v>
      </c>
      <c r="AH78" s="125">
        <f>SUM(AH52:AH77)</f>
        <v>3514847949</v>
      </c>
      <c r="AI78" s="125">
        <f>SUM(AI52:AI77)</f>
        <v>0</v>
      </c>
      <c r="AJ78" s="125">
        <f>SUM(AJ52:AJ77)</f>
        <v>922163651</v>
      </c>
      <c r="AK78" s="125">
        <f>SUM(AK52:AK77)</f>
        <v>0</v>
      </c>
      <c r="AL78" s="125"/>
      <c r="AM78" s="125">
        <f t="shared" ref="AM78:BE78" si="59">SUM(AM52:AM77)</f>
        <v>0</v>
      </c>
      <c r="AN78" s="125">
        <f t="shared" si="59"/>
        <v>139547293</v>
      </c>
      <c r="AO78" s="125">
        <f t="shared" si="59"/>
        <v>0</v>
      </c>
      <c r="AP78" s="125">
        <f t="shared" si="59"/>
        <v>0</v>
      </c>
      <c r="AQ78" s="125">
        <f t="shared" si="59"/>
        <v>0</v>
      </c>
      <c r="AR78" s="125">
        <f t="shared" si="59"/>
        <v>0</v>
      </c>
      <c r="AS78" s="125">
        <f t="shared" si="59"/>
        <v>0</v>
      </c>
      <c r="AT78" s="125">
        <f t="shared" si="59"/>
        <v>0</v>
      </c>
      <c r="AU78" s="125">
        <f t="shared" si="59"/>
        <v>0</v>
      </c>
      <c r="AV78" s="125">
        <f t="shared" si="59"/>
        <v>0</v>
      </c>
      <c r="AW78" s="125">
        <f t="shared" si="59"/>
        <v>0</v>
      </c>
      <c r="AX78" s="125">
        <f t="shared" si="59"/>
        <v>1185208501</v>
      </c>
      <c r="AY78" s="125">
        <f t="shared" si="59"/>
        <v>0</v>
      </c>
      <c r="AZ78" s="125">
        <f t="shared" si="59"/>
        <v>242028893</v>
      </c>
      <c r="BA78" s="125">
        <f t="shared" si="59"/>
        <v>188547760</v>
      </c>
      <c r="BB78" s="125">
        <f t="shared" si="59"/>
        <v>0</v>
      </c>
      <c r="BC78" s="125">
        <f t="shared" si="59"/>
        <v>0</v>
      </c>
      <c r="BD78" s="125">
        <f t="shared" si="59"/>
        <v>0</v>
      </c>
      <c r="BE78" s="125">
        <f t="shared" si="59"/>
        <v>837351851</v>
      </c>
      <c r="BF78" s="123">
        <f t="shared" si="57"/>
        <v>0.17679096450837672</v>
      </c>
      <c r="BG78" s="125">
        <f t="shared" ref="BG78:CD78" si="60">SUM(BG52:BG77)</f>
        <v>754842734</v>
      </c>
      <c r="BH78" s="125">
        <f t="shared" si="60"/>
        <v>0</v>
      </c>
      <c r="BI78" s="125">
        <f t="shared" si="60"/>
        <v>163010627</v>
      </c>
      <c r="BJ78" s="125">
        <f t="shared" si="60"/>
        <v>0</v>
      </c>
      <c r="BK78" s="125">
        <f t="shared" si="60"/>
        <v>0</v>
      </c>
      <c r="BL78" s="125">
        <f t="shared" si="60"/>
        <v>0</v>
      </c>
      <c r="BM78" s="125">
        <f t="shared" si="60"/>
        <v>28098259</v>
      </c>
      <c r="BN78" s="125">
        <f t="shared" si="60"/>
        <v>0</v>
      </c>
      <c r="BO78" s="125">
        <f t="shared" si="60"/>
        <v>0</v>
      </c>
      <c r="BP78" s="125">
        <f t="shared" si="60"/>
        <v>0</v>
      </c>
      <c r="BQ78" s="125">
        <f t="shared" si="60"/>
        <v>0</v>
      </c>
      <c r="BR78" s="125">
        <f t="shared" si="60"/>
        <v>0</v>
      </c>
      <c r="BS78" s="125">
        <f t="shared" si="60"/>
        <v>0</v>
      </c>
      <c r="BT78" s="125">
        <f t="shared" si="60"/>
        <v>0</v>
      </c>
      <c r="BU78" s="125">
        <f t="shared" si="60"/>
        <v>0</v>
      </c>
      <c r="BV78" s="125">
        <f t="shared" si="60"/>
        <v>0</v>
      </c>
      <c r="BW78" s="125">
        <f t="shared" si="60"/>
        <v>189416499</v>
      </c>
      <c r="BX78" s="125">
        <f t="shared" si="60"/>
        <v>0</v>
      </c>
      <c r="BY78" s="125">
        <f t="shared" si="60"/>
        <v>185737973</v>
      </c>
      <c r="BZ78" s="125">
        <f t="shared" si="60"/>
        <v>8864511</v>
      </c>
      <c r="CA78" s="125">
        <f t="shared" si="60"/>
        <v>0</v>
      </c>
      <c r="CB78" s="125">
        <f t="shared" si="60"/>
        <v>0</v>
      </c>
      <c r="CC78" s="125">
        <f t="shared" si="60"/>
        <v>0</v>
      </c>
      <c r="CD78" s="125">
        <f t="shared" si="60"/>
        <v>179714865</v>
      </c>
      <c r="CE78" s="121">
        <f t="shared" si="55"/>
        <v>0.82320903549162328</v>
      </c>
      <c r="CF78" s="125">
        <f>SUM(CF52:CF77)</f>
        <v>3514847949</v>
      </c>
      <c r="CG78" s="125">
        <f>SUM(CG52:CG77)</f>
        <v>0</v>
      </c>
      <c r="CH78" s="125">
        <f>SUM(CH52:CH77)</f>
        <v>922163651</v>
      </c>
      <c r="CI78" s="125">
        <f>SUM(CI52:CI77)</f>
        <v>0</v>
      </c>
      <c r="CJ78" s="125">
        <f>SUM(CJ52:CJ77)</f>
        <v>0</v>
      </c>
      <c r="CK78" s="125">
        <f t="shared" ref="CK78:DC78" si="61">SUM(CK52:CK77)</f>
        <v>0</v>
      </c>
      <c r="CL78" s="125">
        <f t="shared" si="61"/>
        <v>139547293</v>
      </c>
      <c r="CM78" s="125">
        <f t="shared" si="61"/>
        <v>0</v>
      </c>
      <c r="CN78" s="125">
        <f t="shared" si="61"/>
        <v>0</v>
      </c>
      <c r="CO78" s="125">
        <f t="shared" si="61"/>
        <v>0</v>
      </c>
      <c r="CP78" s="125">
        <f t="shared" si="61"/>
        <v>0</v>
      </c>
      <c r="CQ78" s="125">
        <f t="shared" si="61"/>
        <v>0</v>
      </c>
      <c r="CR78" s="125">
        <f t="shared" si="61"/>
        <v>0</v>
      </c>
      <c r="CS78" s="125">
        <f t="shared" si="61"/>
        <v>0</v>
      </c>
      <c r="CT78" s="125">
        <f t="shared" si="61"/>
        <v>0</v>
      </c>
      <c r="CU78" s="125">
        <f t="shared" si="61"/>
        <v>0</v>
      </c>
      <c r="CV78" s="125">
        <f t="shared" si="61"/>
        <v>1185208501</v>
      </c>
      <c r="CW78" s="125">
        <f t="shared" si="61"/>
        <v>0</v>
      </c>
      <c r="CX78" s="125">
        <f t="shared" si="61"/>
        <v>242028893</v>
      </c>
      <c r="CY78" s="125">
        <f t="shared" si="61"/>
        <v>188547760</v>
      </c>
      <c r="CZ78" s="125">
        <f t="shared" si="61"/>
        <v>0</v>
      </c>
      <c r="DA78" s="125">
        <f t="shared" si="61"/>
        <v>0</v>
      </c>
      <c r="DB78" s="125">
        <f t="shared" si="61"/>
        <v>0</v>
      </c>
      <c r="DC78" s="125">
        <f t="shared" si="61"/>
        <v>837351851</v>
      </c>
      <c r="DD78" s="123">
        <f t="shared" si="56"/>
        <v>0.17679096450837672</v>
      </c>
      <c r="DE78" s="127">
        <f t="shared" si="45"/>
        <v>754842734</v>
      </c>
      <c r="DF78" s="125">
        <f t="shared" ref="DF78:EB78" si="62">SUM(DF52:DF77)</f>
        <v>0</v>
      </c>
      <c r="DG78" s="125">
        <f t="shared" si="62"/>
        <v>163010627</v>
      </c>
      <c r="DH78" s="125">
        <f t="shared" si="62"/>
        <v>0</v>
      </c>
      <c r="DI78" s="125">
        <f t="shared" si="62"/>
        <v>0</v>
      </c>
      <c r="DJ78" s="125">
        <f t="shared" si="62"/>
        <v>0</v>
      </c>
      <c r="DK78" s="125">
        <f t="shared" si="62"/>
        <v>28098259</v>
      </c>
      <c r="DL78" s="125">
        <f t="shared" si="62"/>
        <v>0</v>
      </c>
      <c r="DM78" s="125">
        <f t="shared" si="62"/>
        <v>0</v>
      </c>
      <c r="DN78" s="125">
        <f t="shared" si="62"/>
        <v>0</v>
      </c>
      <c r="DO78" s="125">
        <f t="shared" si="62"/>
        <v>0</v>
      </c>
      <c r="DP78" s="125">
        <f t="shared" si="62"/>
        <v>0</v>
      </c>
      <c r="DQ78" s="125">
        <f t="shared" si="62"/>
        <v>0</v>
      </c>
      <c r="DR78" s="125">
        <f t="shared" si="62"/>
        <v>0</v>
      </c>
      <c r="DS78" s="125">
        <f t="shared" si="62"/>
        <v>0</v>
      </c>
      <c r="DT78" s="125">
        <f t="shared" si="62"/>
        <v>0</v>
      </c>
      <c r="DU78" s="125">
        <f t="shared" si="62"/>
        <v>189416499</v>
      </c>
      <c r="DV78" s="125">
        <f t="shared" si="62"/>
        <v>0</v>
      </c>
      <c r="DW78" s="125">
        <f t="shared" si="62"/>
        <v>185737973</v>
      </c>
      <c r="DX78" s="125">
        <f t="shared" si="62"/>
        <v>8864511</v>
      </c>
      <c r="DY78" s="125">
        <f t="shared" si="62"/>
        <v>0</v>
      </c>
      <c r="DZ78" s="125">
        <f t="shared" si="62"/>
        <v>0</v>
      </c>
      <c r="EA78" s="125">
        <f t="shared" si="62"/>
        <v>0</v>
      </c>
      <c r="EB78" s="125">
        <f t="shared" si="62"/>
        <v>179714865</v>
      </c>
      <c r="ED78" s="135" t="s">
        <v>384</v>
      </c>
      <c r="EE78" s="39">
        <f t="shared" si="29"/>
        <v>4269690683</v>
      </c>
      <c r="EF78" s="39">
        <f t="shared" si="30"/>
        <v>3514847949</v>
      </c>
      <c r="EG78" s="134">
        <f>+CE78</f>
        <v>0.82320903549162328</v>
      </c>
    </row>
    <row r="79" spans="1:137" s="38" customFormat="1" ht="22.5" hidden="1" customHeight="1" thickTop="1" x14ac:dyDescent="0.25">
      <c r="A79" s="179" t="s">
        <v>239</v>
      </c>
      <c r="B79" s="182" t="s">
        <v>240</v>
      </c>
      <c r="C79" s="44" t="s">
        <v>241</v>
      </c>
      <c r="D79" s="29" t="s">
        <v>242</v>
      </c>
      <c r="E79" s="19">
        <v>301</v>
      </c>
      <c r="F79" s="20" t="s">
        <v>243</v>
      </c>
      <c r="G79" s="21">
        <f t="shared" ref="G79:G97" si="63">SUM(J79:AF79)</f>
        <v>144900000</v>
      </c>
      <c r="H79" s="22">
        <v>120000000</v>
      </c>
      <c r="I79" s="22">
        <f>H79-G79</f>
        <v>-24900000</v>
      </c>
      <c r="J79" s="21">
        <f>9900000</f>
        <v>9900000</v>
      </c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>
        <f>65000000</f>
        <v>65000000</v>
      </c>
      <c r="AB79" s="21"/>
      <c r="AC79" s="21">
        <v>70000000</v>
      </c>
      <c r="AD79" s="21"/>
      <c r="AE79" s="21"/>
      <c r="AF79" s="21"/>
      <c r="AG79" s="42">
        <f t="shared" si="54"/>
        <v>0.31874855762594895</v>
      </c>
      <c r="AH79" s="21">
        <f t="shared" si="40"/>
        <v>46186666</v>
      </c>
      <c r="AI79" s="21">
        <f>+'[1]Acuerdo PLAN INVERSIÓN 2021'!$L$5997</f>
        <v>9630000</v>
      </c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>
        <f>+'[1]Acuerdo PLAN INVERSIÓN 2021'!$AB$5997</f>
        <v>36556666</v>
      </c>
      <c r="BC79" s="21"/>
      <c r="BD79" s="21"/>
      <c r="BE79" s="21"/>
      <c r="BF79" s="23">
        <f t="shared" si="57"/>
        <v>0.681251442374051</v>
      </c>
      <c r="BG79" s="21">
        <f t="shared" ref="BG79:BG129" si="64">SUM(BH79:CD79)</f>
        <v>98713334</v>
      </c>
      <c r="BH79" s="21">
        <f t="shared" ref="BH79:BW94" si="65">+J79-AI79</f>
        <v>270000</v>
      </c>
      <c r="BI79" s="21">
        <f t="shared" si="65"/>
        <v>0</v>
      </c>
      <c r="BJ79" s="21">
        <f t="shared" si="65"/>
        <v>0</v>
      </c>
      <c r="BK79" s="21">
        <f t="shared" si="65"/>
        <v>0</v>
      </c>
      <c r="BL79" s="21">
        <f t="shared" si="65"/>
        <v>0</v>
      </c>
      <c r="BM79" s="21">
        <f t="shared" si="65"/>
        <v>0</v>
      </c>
      <c r="BN79" s="21">
        <f t="shared" si="65"/>
        <v>0</v>
      </c>
      <c r="BO79" s="21">
        <f t="shared" si="65"/>
        <v>0</v>
      </c>
      <c r="BP79" s="21">
        <f t="shared" si="65"/>
        <v>0</v>
      </c>
      <c r="BQ79" s="21">
        <f t="shared" si="65"/>
        <v>0</v>
      </c>
      <c r="BR79" s="21">
        <f t="shared" si="65"/>
        <v>0</v>
      </c>
      <c r="BS79" s="21">
        <f t="shared" si="65"/>
        <v>0</v>
      </c>
      <c r="BT79" s="21">
        <f t="shared" si="65"/>
        <v>0</v>
      </c>
      <c r="BU79" s="21">
        <f t="shared" si="65"/>
        <v>0</v>
      </c>
      <c r="BV79" s="21">
        <f t="shared" si="65"/>
        <v>0</v>
      </c>
      <c r="BW79" s="21">
        <f t="shared" si="65"/>
        <v>0</v>
      </c>
      <c r="BX79" s="21">
        <f t="shared" ref="BX79:CD97" si="66">+Z79-AY79</f>
        <v>0</v>
      </c>
      <c r="BY79" s="21">
        <f t="shared" si="66"/>
        <v>65000000</v>
      </c>
      <c r="BZ79" s="21">
        <f t="shared" si="66"/>
        <v>0</v>
      </c>
      <c r="CA79" s="21">
        <f t="shared" si="66"/>
        <v>33443334</v>
      </c>
      <c r="CB79" s="21">
        <f t="shared" si="66"/>
        <v>0</v>
      </c>
      <c r="CC79" s="21">
        <f t="shared" si="66"/>
        <v>0</v>
      </c>
      <c r="CD79" s="21">
        <f t="shared" si="66"/>
        <v>0</v>
      </c>
      <c r="CE79" s="42">
        <f t="shared" si="55"/>
        <v>0.31874855762594895</v>
      </c>
      <c r="CF79" s="21">
        <f>SUM(CG79:DC79)</f>
        <v>46186666</v>
      </c>
      <c r="CG79" s="21">
        <f>+'[1]Acuerdo PLAN INVERSIÓN 2021'!$L$5997</f>
        <v>9630000</v>
      </c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>
        <f>+'[1]Acuerdo PLAN INVERSIÓN 2021'!$AB$5997</f>
        <v>36556666</v>
      </c>
      <c r="DA79" s="21"/>
      <c r="DB79" s="21"/>
      <c r="DC79" s="21"/>
      <c r="DD79" s="23">
        <f t="shared" si="56"/>
        <v>0.681251442374051</v>
      </c>
      <c r="DE79" s="21">
        <f t="shared" si="45"/>
        <v>98713334</v>
      </c>
      <c r="DF79" s="21">
        <f t="shared" ref="DF79:DU94" si="67">+J79-CG79</f>
        <v>270000</v>
      </c>
      <c r="DG79" s="21">
        <f t="shared" si="67"/>
        <v>0</v>
      </c>
      <c r="DH79" s="21">
        <f t="shared" si="67"/>
        <v>0</v>
      </c>
      <c r="DI79" s="21">
        <f t="shared" si="67"/>
        <v>0</v>
      </c>
      <c r="DJ79" s="21">
        <f t="shared" si="67"/>
        <v>0</v>
      </c>
      <c r="DK79" s="21">
        <f t="shared" si="67"/>
        <v>0</v>
      </c>
      <c r="DL79" s="21">
        <f t="shared" si="67"/>
        <v>0</v>
      </c>
      <c r="DM79" s="21">
        <f t="shared" si="67"/>
        <v>0</v>
      </c>
      <c r="DN79" s="21">
        <f t="shared" si="67"/>
        <v>0</v>
      </c>
      <c r="DO79" s="21">
        <f t="shared" si="67"/>
        <v>0</v>
      </c>
      <c r="DP79" s="21">
        <f t="shared" si="67"/>
        <v>0</v>
      </c>
      <c r="DQ79" s="21">
        <f t="shared" si="67"/>
        <v>0</v>
      </c>
      <c r="DR79" s="21">
        <f t="shared" si="67"/>
        <v>0</v>
      </c>
      <c r="DS79" s="21">
        <f t="shared" si="67"/>
        <v>0</v>
      </c>
      <c r="DT79" s="21">
        <f t="shared" si="67"/>
        <v>0</v>
      </c>
      <c r="DU79" s="21">
        <f t="shared" si="67"/>
        <v>0</v>
      </c>
      <c r="DV79" s="21">
        <f t="shared" ref="DV79:EB97" si="68">+Z79-CW79</f>
        <v>0</v>
      </c>
      <c r="DW79" s="21">
        <f t="shared" si="68"/>
        <v>65000000</v>
      </c>
      <c r="DX79" s="21">
        <f t="shared" si="68"/>
        <v>0</v>
      </c>
      <c r="DY79" s="21">
        <f t="shared" si="68"/>
        <v>33443334</v>
      </c>
      <c r="DZ79" s="21">
        <f t="shared" si="68"/>
        <v>0</v>
      </c>
      <c r="EA79" s="21">
        <f t="shared" si="68"/>
        <v>0</v>
      </c>
      <c r="EB79" s="21">
        <f t="shared" si="68"/>
        <v>0</v>
      </c>
      <c r="ED79"/>
      <c r="EE79" s="39">
        <f t="shared" si="29"/>
        <v>144900000</v>
      </c>
      <c r="EF79" s="39">
        <f t="shared" si="30"/>
        <v>46186666</v>
      </c>
    </row>
    <row r="80" spans="1:137" s="38" customFormat="1" ht="21" hidden="1" customHeight="1" x14ac:dyDescent="0.25">
      <c r="A80" s="180"/>
      <c r="B80" s="172"/>
      <c r="C80" s="44" t="s">
        <v>244</v>
      </c>
      <c r="D80" s="29" t="s">
        <v>245</v>
      </c>
      <c r="E80" s="19">
        <v>301</v>
      </c>
      <c r="F80" s="20" t="s">
        <v>243</v>
      </c>
      <c r="G80" s="21">
        <f t="shared" si="63"/>
        <v>70000000</v>
      </c>
      <c r="H80" s="22">
        <v>85000000</v>
      </c>
      <c r="I80" s="22">
        <f t="shared" ref="I80:I97" si="69">H80-G80</f>
        <v>15000000</v>
      </c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>
        <f>20000000</f>
        <v>20000000</v>
      </c>
      <c r="AB80" s="21"/>
      <c r="AC80" s="21">
        <v>50000000</v>
      </c>
      <c r="AD80" s="21"/>
      <c r="AE80" s="21"/>
      <c r="AF80" s="21"/>
      <c r="AG80" s="23">
        <f t="shared" si="54"/>
        <v>5.6888085714285712E-2</v>
      </c>
      <c r="AH80" s="21">
        <f t="shared" si="40"/>
        <v>3982166</v>
      </c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>
        <f>+'[1]Acuerdo PLAN INVERSIÓN 2021'!$AB$6020</f>
        <v>3982166</v>
      </c>
      <c r="BC80" s="21"/>
      <c r="BD80" s="21"/>
      <c r="BE80" s="21"/>
      <c r="BF80" s="23">
        <f t="shared" si="57"/>
        <v>0.94311191428571428</v>
      </c>
      <c r="BG80" s="21">
        <f t="shared" si="64"/>
        <v>66017834</v>
      </c>
      <c r="BH80" s="21">
        <f t="shared" si="65"/>
        <v>0</v>
      </c>
      <c r="BI80" s="21">
        <f t="shared" si="65"/>
        <v>0</v>
      </c>
      <c r="BJ80" s="21">
        <f t="shared" si="65"/>
        <v>0</v>
      </c>
      <c r="BK80" s="21">
        <f t="shared" si="65"/>
        <v>0</v>
      </c>
      <c r="BL80" s="21">
        <f t="shared" si="65"/>
        <v>0</v>
      </c>
      <c r="BM80" s="21">
        <f t="shared" si="65"/>
        <v>0</v>
      </c>
      <c r="BN80" s="21">
        <f t="shared" si="65"/>
        <v>0</v>
      </c>
      <c r="BO80" s="21">
        <f t="shared" si="65"/>
        <v>0</v>
      </c>
      <c r="BP80" s="21">
        <f t="shared" si="65"/>
        <v>0</v>
      </c>
      <c r="BQ80" s="21">
        <f t="shared" si="65"/>
        <v>0</v>
      </c>
      <c r="BR80" s="21">
        <f t="shared" si="65"/>
        <v>0</v>
      </c>
      <c r="BS80" s="21">
        <f t="shared" si="65"/>
        <v>0</v>
      </c>
      <c r="BT80" s="21">
        <f t="shared" si="65"/>
        <v>0</v>
      </c>
      <c r="BU80" s="21">
        <f t="shared" si="65"/>
        <v>0</v>
      </c>
      <c r="BV80" s="21">
        <f t="shared" si="65"/>
        <v>0</v>
      </c>
      <c r="BW80" s="21">
        <f t="shared" si="65"/>
        <v>0</v>
      </c>
      <c r="BX80" s="21">
        <f t="shared" si="66"/>
        <v>0</v>
      </c>
      <c r="BY80" s="21">
        <f t="shared" si="66"/>
        <v>20000000</v>
      </c>
      <c r="BZ80" s="21">
        <f t="shared" si="66"/>
        <v>0</v>
      </c>
      <c r="CA80" s="21">
        <f t="shared" si="66"/>
        <v>46017834</v>
      </c>
      <c r="CB80" s="21">
        <f t="shared" si="66"/>
        <v>0</v>
      </c>
      <c r="CC80" s="21">
        <f t="shared" si="66"/>
        <v>0</v>
      </c>
      <c r="CD80" s="21">
        <f t="shared" si="66"/>
        <v>0</v>
      </c>
      <c r="CE80" s="23">
        <f t="shared" si="55"/>
        <v>5.6888085714285712E-2</v>
      </c>
      <c r="CF80" s="21">
        <f t="shared" ref="CF80:CF97" si="70">SUM(CG80:DC80)</f>
        <v>3982166</v>
      </c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>
        <f>+'[1]Acuerdo PLAN INVERSIÓN 2021'!$AB$6020</f>
        <v>3982166</v>
      </c>
      <c r="DA80" s="21"/>
      <c r="DB80" s="21"/>
      <c r="DC80" s="21"/>
      <c r="DD80" s="23">
        <f t="shared" si="56"/>
        <v>0.94311191428571428</v>
      </c>
      <c r="DE80" s="21">
        <f t="shared" si="45"/>
        <v>66017834</v>
      </c>
      <c r="DF80" s="21">
        <f t="shared" si="67"/>
        <v>0</v>
      </c>
      <c r="DG80" s="21">
        <f t="shared" si="67"/>
        <v>0</v>
      </c>
      <c r="DH80" s="21">
        <f t="shared" si="67"/>
        <v>0</v>
      </c>
      <c r="DI80" s="21">
        <f t="shared" si="67"/>
        <v>0</v>
      </c>
      <c r="DJ80" s="21">
        <f t="shared" si="67"/>
        <v>0</v>
      </c>
      <c r="DK80" s="21">
        <f t="shared" si="67"/>
        <v>0</v>
      </c>
      <c r="DL80" s="21">
        <f t="shared" si="67"/>
        <v>0</v>
      </c>
      <c r="DM80" s="21">
        <f t="shared" si="67"/>
        <v>0</v>
      </c>
      <c r="DN80" s="21">
        <f t="shared" si="67"/>
        <v>0</v>
      </c>
      <c r="DO80" s="21">
        <f t="shared" si="67"/>
        <v>0</v>
      </c>
      <c r="DP80" s="21">
        <f t="shared" si="67"/>
        <v>0</v>
      </c>
      <c r="DQ80" s="21">
        <f t="shared" si="67"/>
        <v>0</v>
      </c>
      <c r="DR80" s="21">
        <f t="shared" si="67"/>
        <v>0</v>
      </c>
      <c r="DS80" s="21">
        <f t="shared" si="67"/>
        <v>0</v>
      </c>
      <c r="DT80" s="21">
        <f t="shared" si="67"/>
        <v>0</v>
      </c>
      <c r="DU80" s="21">
        <f t="shared" si="67"/>
        <v>0</v>
      </c>
      <c r="DV80" s="21">
        <f t="shared" si="68"/>
        <v>0</v>
      </c>
      <c r="DW80" s="21">
        <f t="shared" si="68"/>
        <v>20000000</v>
      </c>
      <c r="DX80" s="21">
        <f t="shared" si="68"/>
        <v>0</v>
      </c>
      <c r="DY80" s="21">
        <f t="shared" si="68"/>
        <v>46017834</v>
      </c>
      <c r="DZ80" s="21">
        <f t="shared" si="68"/>
        <v>0</v>
      </c>
      <c r="EA80" s="21">
        <f t="shared" si="68"/>
        <v>0</v>
      </c>
      <c r="EB80" s="21">
        <f t="shared" si="68"/>
        <v>0</v>
      </c>
      <c r="ED80"/>
      <c r="EE80" s="39">
        <f t="shared" si="29"/>
        <v>70000000</v>
      </c>
      <c r="EF80" s="39">
        <f t="shared" si="30"/>
        <v>3982166</v>
      </c>
    </row>
    <row r="81" spans="1:137" s="38" customFormat="1" ht="21.75" hidden="1" customHeight="1" x14ac:dyDescent="0.25">
      <c r="A81" s="180"/>
      <c r="B81" s="172"/>
      <c r="C81" s="44" t="s">
        <v>246</v>
      </c>
      <c r="D81" s="29" t="s">
        <v>247</v>
      </c>
      <c r="E81" s="19">
        <v>301</v>
      </c>
      <c r="F81" s="20" t="s">
        <v>243</v>
      </c>
      <c r="G81" s="21">
        <f t="shared" si="63"/>
        <v>79666667</v>
      </c>
      <c r="H81" s="22">
        <v>100000000</v>
      </c>
      <c r="I81" s="22">
        <f t="shared" si="69"/>
        <v>20333333</v>
      </c>
      <c r="J81" s="21">
        <v>19666667</v>
      </c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>
        <v>60000000</v>
      </c>
      <c r="AD81" s="21"/>
      <c r="AE81" s="21"/>
      <c r="AF81" s="21"/>
      <c r="AG81" s="23">
        <f t="shared" si="54"/>
        <v>0.62029288861802134</v>
      </c>
      <c r="AH81" s="21">
        <f t="shared" si="40"/>
        <v>49416667</v>
      </c>
      <c r="AI81" s="21">
        <f>+'[1]Acuerdo PLAN INVERSIÓN 2021'!$L$6031</f>
        <v>17833334</v>
      </c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>
        <f>+'[1]Acuerdo PLAN INVERSIÓN 2021'!$AB$6031</f>
        <v>31583333</v>
      </c>
      <c r="BC81" s="21"/>
      <c r="BD81" s="21"/>
      <c r="BE81" s="21"/>
      <c r="BF81" s="23">
        <f t="shared" si="57"/>
        <v>0.37970711138197866</v>
      </c>
      <c r="BG81" s="21">
        <f t="shared" si="64"/>
        <v>30250000</v>
      </c>
      <c r="BH81" s="21">
        <f t="shared" si="65"/>
        <v>1833333</v>
      </c>
      <c r="BI81" s="21">
        <f t="shared" si="65"/>
        <v>0</v>
      </c>
      <c r="BJ81" s="21">
        <f t="shared" si="65"/>
        <v>0</v>
      </c>
      <c r="BK81" s="21">
        <f t="shared" si="65"/>
        <v>0</v>
      </c>
      <c r="BL81" s="21">
        <f t="shared" si="65"/>
        <v>0</v>
      </c>
      <c r="BM81" s="21">
        <f t="shared" si="65"/>
        <v>0</v>
      </c>
      <c r="BN81" s="21">
        <f t="shared" si="65"/>
        <v>0</v>
      </c>
      <c r="BO81" s="21">
        <f t="shared" si="65"/>
        <v>0</v>
      </c>
      <c r="BP81" s="21">
        <f t="shared" si="65"/>
        <v>0</v>
      </c>
      <c r="BQ81" s="21">
        <f t="shared" si="65"/>
        <v>0</v>
      </c>
      <c r="BR81" s="21">
        <f t="shared" si="65"/>
        <v>0</v>
      </c>
      <c r="BS81" s="21">
        <f t="shared" si="65"/>
        <v>0</v>
      </c>
      <c r="BT81" s="21">
        <f t="shared" si="65"/>
        <v>0</v>
      </c>
      <c r="BU81" s="21">
        <f t="shared" si="65"/>
        <v>0</v>
      </c>
      <c r="BV81" s="21">
        <f t="shared" si="65"/>
        <v>0</v>
      </c>
      <c r="BW81" s="21">
        <f t="shared" si="65"/>
        <v>0</v>
      </c>
      <c r="BX81" s="21">
        <f t="shared" si="66"/>
        <v>0</v>
      </c>
      <c r="BY81" s="21">
        <f t="shared" si="66"/>
        <v>0</v>
      </c>
      <c r="BZ81" s="21">
        <f t="shared" si="66"/>
        <v>0</v>
      </c>
      <c r="CA81" s="21">
        <f t="shared" si="66"/>
        <v>28416667</v>
      </c>
      <c r="CB81" s="21">
        <f t="shared" si="66"/>
        <v>0</v>
      </c>
      <c r="CC81" s="21">
        <f t="shared" si="66"/>
        <v>0</v>
      </c>
      <c r="CD81" s="21">
        <f t="shared" si="66"/>
        <v>0</v>
      </c>
      <c r="CE81" s="23">
        <f t="shared" si="55"/>
        <v>0.62029288861802134</v>
      </c>
      <c r="CF81" s="21">
        <f t="shared" si="70"/>
        <v>49416667</v>
      </c>
      <c r="CG81" s="21">
        <f>+'[1]Acuerdo PLAN INVERSIÓN 2021'!$L$6031</f>
        <v>17833334</v>
      </c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>
        <f>+'[1]Acuerdo PLAN INVERSIÓN 2021'!$AB$6031</f>
        <v>31583333</v>
      </c>
      <c r="DA81" s="21"/>
      <c r="DB81" s="21"/>
      <c r="DC81" s="21"/>
      <c r="DD81" s="23">
        <f t="shared" si="56"/>
        <v>0.37970711138197866</v>
      </c>
      <c r="DE81" s="21">
        <f t="shared" si="45"/>
        <v>30250000</v>
      </c>
      <c r="DF81" s="21">
        <f t="shared" si="67"/>
        <v>1833333</v>
      </c>
      <c r="DG81" s="21">
        <f t="shared" si="67"/>
        <v>0</v>
      </c>
      <c r="DH81" s="21">
        <f t="shared" si="67"/>
        <v>0</v>
      </c>
      <c r="DI81" s="21">
        <f t="shared" si="67"/>
        <v>0</v>
      </c>
      <c r="DJ81" s="21">
        <f t="shared" si="67"/>
        <v>0</v>
      </c>
      <c r="DK81" s="21">
        <f t="shared" si="67"/>
        <v>0</v>
      </c>
      <c r="DL81" s="21">
        <f t="shared" si="67"/>
        <v>0</v>
      </c>
      <c r="DM81" s="21">
        <f t="shared" si="67"/>
        <v>0</v>
      </c>
      <c r="DN81" s="21">
        <f t="shared" si="67"/>
        <v>0</v>
      </c>
      <c r="DO81" s="21">
        <f t="shared" si="67"/>
        <v>0</v>
      </c>
      <c r="DP81" s="21">
        <f t="shared" si="67"/>
        <v>0</v>
      </c>
      <c r="DQ81" s="21">
        <f t="shared" si="67"/>
        <v>0</v>
      </c>
      <c r="DR81" s="21">
        <f t="shared" si="67"/>
        <v>0</v>
      </c>
      <c r="DS81" s="21">
        <f t="shared" si="67"/>
        <v>0</v>
      </c>
      <c r="DT81" s="21">
        <f t="shared" si="67"/>
        <v>0</v>
      </c>
      <c r="DU81" s="21">
        <f t="shared" si="67"/>
        <v>0</v>
      </c>
      <c r="DV81" s="21">
        <f t="shared" si="68"/>
        <v>0</v>
      </c>
      <c r="DW81" s="21">
        <f t="shared" si="68"/>
        <v>0</v>
      </c>
      <c r="DX81" s="21">
        <f t="shared" si="68"/>
        <v>0</v>
      </c>
      <c r="DY81" s="21">
        <f t="shared" si="68"/>
        <v>28416667</v>
      </c>
      <c r="DZ81" s="21">
        <f t="shared" si="68"/>
        <v>0</v>
      </c>
      <c r="EA81" s="21">
        <f t="shared" si="68"/>
        <v>0</v>
      </c>
      <c r="EB81" s="21">
        <f t="shared" si="68"/>
        <v>0</v>
      </c>
      <c r="ED81"/>
      <c r="EE81" s="39">
        <f t="shared" si="29"/>
        <v>79666667</v>
      </c>
      <c r="EF81" s="39">
        <f t="shared" si="30"/>
        <v>49416667</v>
      </c>
    </row>
    <row r="82" spans="1:137" s="38" customFormat="1" ht="21" hidden="1" customHeight="1" x14ac:dyDescent="0.25">
      <c r="A82" s="180"/>
      <c r="B82" s="172"/>
      <c r="C82" s="44" t="s">
        <v>248</v>
      </c>
      <c r="D82" s="29" t="s">
        <v>249</v>
      </c>
      <c r="E82" s="19">
        <v>301</v>
      </c>
      <c r="F82" s="20" t="s">
        <v>243</v>
      </c>
      <c r="G82" s="21">
        <f t="shared" si="63"/>
        <v>10000000</v>
      </c>
      <c r="H82" s="22">
        <v>20000000</v>
      </c>
      <c r="I82" s="22">
        <f t="shared" si="69"/>
        <v>10000000</v>
      </c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>
        <v>10000000</v>
      </c>
      <c r="AA82" s="21"/>
      <c r="AB82" s="21"/>
      <c r="AC82" s="21"/>
      <c r="AD82" s="21"/>
      <c r="AE82" s="21"/>
      <c r="AF82" s="21"/>
      <c r="AG82" s="23">
        <f t="shared" si="54"/>
        <v>0</v>
      </c>
      <c r="AH82" s="21">
        <f t="shared" si="40"/>
        <v>0</v>
      </c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3">
        <f t="shared" si="57"/>
        <v>1</v>
      </c>
      <c r="BG82" s="21">
        <f t="shared" si="64"/>
        <v>10000000</v>
      </c>
      <c r="BH82" s="21">
        <f t="shared" si="65"/>
        <v>0</v>
      </c>
      <c r="BI82" s="21">
        <f t="shared" si="65"/>
        <v>0</v>
      </c>
      <c r="BJ82" s="21">
        <f t="shared" si="65"/>
        <v>0</v>
      </c>
      <c r="BK82" s="21">
        <f t="shared" si="65"/>
        <v>0</v>
      </c>
      <c r="BL82" s="21">
        <f t="shared" si="65"/>
        <v>0</v>
      </c>
      <c r="BM82" s="21">
        <f t="shared" si="65"/>
        <v>0</v>
      </c>
      <c r="BN82" s="21">
        <f t="shared" si="65"/>
        <v>0</v>
      </c>
      <c r="BO82" s="21">
        <f t="shared" si="65"/>
        <v>0</v>
      </c>
      <c r="BP82" s="21">
        <f t="shared" si="65"/>
        <v>0</v>
      </c>
      <c r="BQ82" s="21">
        <f t="shared" si="65"/>
        <v>0</v>
      </c>
      <c r="BR82" s="21">
        <f t="shared" si="65"/>
        <v>0</v>
      </c>
      <c r="BS82" s="21">
        <f t="shared" si="65"/>
        <v>0</v>
      </c>
      <c r="BT82" s="21">
        <f t="shared" si="65"/>
        <v>0</v>
      </c>
      <c r="BU82" s="21">
        <f t="shared" si="65"/>
        <v>0</v>
      </c>
      <c r="BV82" s="21">
        <f t="shared" si="65"/>
        <v>0</v>
      </c>
      <c r="BW82" s="21">
        <f t="shared" si="65"/>
        <v>0</v>
      </c>
      <c r="BX82" s="21">
        <f t="shared" si="66"/>
        <v>10000000</v>
      </c>
      <c r="BY82" s="21">
        <f t="shared" si="66"/>
        <v>0</v>
      </c>
      <c r="BZ82" s="21">
        <f t="shared" si="66"/>
        <v>0</v>
      </c>
      <c r="CA82" s="21">
        <f t="shared" si="66"/>
        <v>0</v>
      </c>
      <c r="CB82" s="21">
        <f t="shared" si="66"/>
        <v>0</v>
      </c>
      <c r="CC82" s="21">
        <f t="shared" si="66"/>
        <v>0</v>
      </c>
      <c r="CD82" s="21">
        <f t="shared" si="66"/>
        <v>0</v>
      </c>
      <c r="CE82" s="23">
        <f t="shared" si="55"/>
        <v>0</v>
      </c>
      <c r="CF82" s="21">
        <f t="shared" si="70"/>
        <v>0</v>
      </c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3">
        <f t="shared" si="56"/>
        <v>1</v>
      </c>
      <c r="DE82" s="21">
        <f t="shared" si="45"/>
        <v>10000000</v>
      </c>
      <c r="DF82" s="21">
        <f t="shared" si="67"/>
        <v>0</v>
      </c>
      <c r="DG82" s="21">
        <f t="shared" si="67"/>
        <v>0</v>
      </c>
      <c r="DH82" s="21">
        <f t="shared" si="67"/>
        <v>0</v>
      </c>
      <c r="DI82" s="21">
        <f t="shared" si="67"/>
        <v>0</v>
      </c>
      <c r="DJ82" s="21">
        <f t="shared" si="67"/>
        <v>0</v>
      </c>
      <c r="DK82" s="21">
        <f t="shared" si="67"/>
        <v>0</v>
      </c>
      <c r="DL82" s="21">
        <f t="shared" si="67"/>
        <v>0</v>
      </c>
      <c r="DM82" s="21">
        <f t="shared" si="67"/>
        <v>0</v>
      </c>
      <c r="DN82" s="21">
        <f t="shared" si="67"/>
        <v>0</v>
      </c>
      <c r="DO82" s="21">
        <f t="shared" si="67"/>
        <v>0</v>
      </c>
      <c r="DP82" s="21">
        <f t="shared" si="67"/>
        <v>0</v>
      </c>
      <c r="DQ82" s="21">
        <f t="shared" si="67"/>
        <v>0</v>
      </c>
      <c r="DR82" s="21">
        <f t="shared" si="67"/>
        <v>0</v>
      </c>
      <c r="DS82" s="21">
        <f t="shared" si="67"/>
        <v>0</v>
      </c>
      <c r="DT82" s="21">
        <f t="shared" si="67"/>
        <v>0</v>
      </c>
      <c r="DU82" s="21">
        <f t="shared" si="67"/>
        <v>0</v>
      </c>
      <c r="DV82" s="21">
        <f t="shared" si="68"/>
        <v>10000000</v>
      </c>
      <c r="DW82" s="21">
        <f t="shared" si="68"/>
        <v>0</v>
      </c>
      <c r="DX82" s="21">
        <f t="shared" si="68"/>
        <v>0</v>
      </c>
      <c r="DY82" s="21">
        <f t="shared" si="68"/>
        <v>0</v>
      </c>
      <c r="DZ82" s="21">
        <f t="shared" si="68"/>
        <v>0</v>
      </c>
      <c r="EA82" s="21">
        <f t="shared" si="68"/>
        <v>0</v>
      </c>
      <c r="EB82" s="21">
        <f t="shared" si="68"/>
        <v>0</v>
      </c>
      <c r="ED82"/>
      <c r="EE82" s="39">
        <f t="shared" si="29"/>
        <v>10000000</v>
      </c>
      <c r="EF82" s="39">
        <f t="shared" si="30"/>
        <v>0</v>
      </c>
    </row>
    <row r="83" spans="1:137" s="38" customFormat="1" ht="19.95" hidden="1" customHeight="1" x14ac:dyDescent="0.25">
      <c r="A83" s="180"/>
      <c r="B83" s="172"/>
      <c r="C83" s="44" t="s">
        <v>250</v>
      </c>
      <c r="D83" s="29" t="s">
        <v>251</v>
      </c>
      <c r="E83" s="19">
        <v>301</v>
      </c>
      <c r="F83" s="20" t="s">
        <v>243</v>
      </c>
      <c r="G83" s="21">
        <f t="shared" si="63"/>
        <v>10000000</v>
      </c>
      <c r="H83" s="22">
        <v>17000000</v>
      </c>
      <c r="I83" s="22">
        <f t="shared" si="69"/>
        <v>7000000</v>
      </c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>
        <v>10000000</v>
      </c>
      <c r="AA83" s="21"/>
      <c r="AB83" s="21"/>
      <c r="AC83" s="21"/>
      <c r="AD83" s="21"/>
      <c r="AE83" s="21"/>
      <c r="AF83" s="21"/>
      <c r="AG83" s="23">
        <f t="shared" si="54"/>
        <v>0</v>
      </c>
      <c r="AH83" s="21">
        <f t="shared" si="40"/>
        <v>0</v>
      </c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3">
        <f t="shared" si="57"/>
        <v>1</v>
      </c>
      <c r="BG83" s="21">
        <f t="shared" si="64"/>
        <v>10000000</v>
      </c>
      <c r="BH83" s="21">
        <f t="shared" si="65"/>
        <v>0</v>
      </c>
      <c r="BI83" s="21">
        <f t="shared" si="65"/>
        <v>0</v>
      </c>
      <c r="BJ83" s="21">
        <f t="shared" si="65"/>
        <v>0</v>
      </c>
      <c r="BK83" s="21">
        <f t="shared" si="65"/>
        <v>0</v>
      </c>
      <c r="BL83" s="21">
        <f t="shared" si="65"/>
        <v>0</v>
      </c>
      <c r="BM83" s="21">
        <f t="shared" si="65"/>
        <v>0</v>
      </c>
      <c r="BN83" s="21">
        <f t="shared" si="65"/>
        <v>0</v>
      </c>
      <c r="BO83" s="21">
        <f t="shared" si="65"/>
        <v>0</v>
      </c>
      <c r="BP83" s="21">
        <f t="shared" si="65"/>
        <v>0</v>
      </c>
      <c r="BQ83" s="21">
        <f t="shared" si="65"/>
        <v>0</v>
      </c>
      <c r="BR83" s="21">
        <f t="shared" si="65"/>
        <v>0</v>
      </c>
      <c r="BS83" s="21">
        <f t="shared" si="65"/>
        <v>0</v>
      </c>
      <c r="BT83" s="21">
        <f t="shared" si="65"/>
        <v>0</v>
      </c>
      <c r="BU83" s="21">
        <f t="shared" si="65"/>
        <v>0</v>
      </c>
      <c r="BV83" s="21">
        <f t="shared" si="65"/>
        <v>0</v>
      </c>
      <c r="BW83" s="21">
        <f t="shared" si="65"/>
        <v>0</v>
      </c>
      <c r="BX83" s="21">
        <f t="shared" si="66"/>
        <v>10000000</v>
      </c>
      <c r="BY83" s="21">
        <f t="shared" si="66"/>
        <v>0</v>
      </c>
      <c r="BZ83" s="21">
        <f t="shared" si="66"/>
        <v>0</v>
      </c>
      <c r="CA83" s="21">
        <f t="shared" si="66"/>
        <v>0</v>
      </c>
      <c r="CB83" s="21">
        <f t="shared" si="66"/>
        <v>0</v>
      </c>
      <c r="CC83" s="21">
        <f t="shared" si="66"/>
        <v>0</v>
      </c>
      <c r="CD83" s="21">
        <f t="shared" si="66"/>
        <v>0</v>
      </c>
      <c r="CE83" s="23">
        <f t="shared" si="55"/>
        <v>0</v>
      </c>
      <c r="CF83" s="21">
        <f t="shared" si="70"/>
        <v>0</v>
      </c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3">
        <f t="shared" si="56"/>
        <v>1</v>
      </c>
      <c r="DE83" s="21">
        <f t="shared" si="45"/>
        <v>10000000</v>
      </c>
      <c r="DF83" s="21">
        <f t="shared" si="67"/>
        <v>0</v>
      </c>
      <c r="DG83" s="21">
        <f t="shared" si="67"/>
        <v>0</v>
      </c>
      <c r="DH83" s="21">
        <f t="shared" si="67"/>
        <v>0</v>
      </c>
      <c r="DI83" s="21">
        <f t="shared" si="67"/>
        <v>0</v>
      </c>
      <c r="DJ83" s="21">
        <f t="shared" si="67"/>
        <v>0</v>
      </c>
      <c r="DK83" s="21">
        <f t="shared" si="67"/>
        <v>0</v>
      </c>
      <c r="DL83" s="21">
        <f t="shared" si="67"/>
        <v>0</v>
      </c>
      <c r="DM83" s="21">
        <f t="shared" si="67"/>
        <v>0</v>
      </c>
      <c r="DN83" s="21">
        <f t="shared" si="67"/>
        <v>0</v>
      </c>
      <c r="DO83" s="21">
        <f t="shared" si="67"/>
        <v>0</v>
      </c>
      <c r="DP83" s="21">
        <f t="shared" si="67"/>
        <v>0</v>
      </c>
      <c r="DQ83" s="21">
        <f t="shared" si="67"/>
        <v>0</v>
      </c>
      <c r="DR83" s="21">
        <f t="shared" si="67"/>
        <v>0</v>
      </c>
      <c r="DS83" s="21">
        <f t="shared" si="67"/>
        <v>0</v>
      </c>
      <c r="DT83" s="21">
        <f t="shared" si="67"/>
        <v>0</v>
      </c>
      <c r="DU83" s="21">
        <f t="shared" si="67"/>
        <v>0</v>
      </c>
      <c r="DV83" s="21">
        <f t="shared" si="68"/>
        <v>10000000</v>
      </c>
      <c r="DW83" s="21">
        <f t="shared" si="68"/>
        <v>0</v>
      </c>
      <c r="DX83" s="21">
        <f t="shared" si="68"/>
        <v>0</v>
      </c>
      <c r="DY83" s="21">
        <f t="shared" si="68"/>
        <v>0</v>
      </c>
      <c r="DZ83" s="21">
        <f t="shared" si="68"/>
        <v>0</v>
      </c>
      <c r="EA83" s="21">
        <f t="shared" si="68"/>
        <v>0</v>
      </c>
      <c r="EB83" s="21">
        <f t="shared" si="68"/>
        <v>0</v>
      </c>
      <c r="ED83"/>
      <c r="EE83" s="39">
        <f t="shared" si="29"/>
        <v>10000000</v>
      </c>
      <c r="EF83" s="39">
        <f t="shared" si="30"/>
        <v>0</v>
      </c>
    </row>
    <row r="84" spans="1:137" s="38" customFormat="1" ht="33.6" hidden="1" customHeight="1" x14ac:dyDescent="0.25">
      <c r="A84" s="180"/>
      <c r="B84" s="172"/>
      <c r="C84" s="44" t="s">
        <v>252</v>
      </c>
      <c r="D84" s="29" t="s">
        <v>253</v>
      </c>
      <c r="E84" s="19">
        <v>301</v>
      </c>
      <c r="F84" s="20" t="s">
        <v>243</v>
      </c>
      <c r="G84" s="21">
        <f t="shared" si="63"/>
        <v>34800000</v>
      </c>
      <c r="H84" s="22">
        <v>41000000</v>
      </c>
      <c r="I84" s="22">
        <f t="shared" si="69"/>
        <v>6200000</v>
      </c>
      <c r="J84" s="21">
        <f>8800000</f>
        <v>8800000</v>
      </c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>
        <v>15000000</v>
      </c>
      <c r="AA84" s="21">
        <f>11000000</f>
        <v>11000000</v>
      </c>
      <c r="AB84" s="21"/>
      <c r="AC84" s="21"/>
      <c r="AD84" s="21"/>
      <c r="AE84" s="21"/>
      <c r="AF84" s="21"/>
      <c r="AG84" s="23">
        <f t="shared" si="54"/>
        <v>0.34482758620689657</v>
      </c>
      <c r="AH84" s="21">
        <f t="shared" si="40"/>
        <v>12000000</v>
      </c>
      <c r="AI84" s="21">
        <f>+'[1]Acuerdo PLAN INVERSIÓN 2021'!$L$6056</f>
        <v>3920000</v>
      </c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>
        <f>+'[1]Acuerdo PLAN INVERSIÓN 2021'!$AA$6056</f>
        <v>6120000</v>
      </c>
      <c r="AZ84" s="21">
        <f>+'[1]Acuerdo PLAN INVERSIÓN 2021'!$X$6056</f>
        <v>1960000</v>
      </c>
      <c r="BA84" s="21"/>
      <c r="BB84" s="21"/>
      <c r="BC84" s="21"/>
      <c r="BD84" s="21"/>
      <c r="BE84" s="21"/>
      <c r="BF84" s="23">
        <f t="shared" si="57"/>
        <v>0.65517241379310343</v>
      </c>
      <c r="BG84" s="21">
        <f t="shared" si="64"/>
        <v>22800000</v>
      </c>
      <c r="BH84" s="21">
        <f t="shared" si="65"/>
        <v>4880000</v>
      </c>
      <c r="BI84" s="21">
        <f t="shared" si="65"/>
        <v>0</v>
      </c>
      <c r="BJ84" s="21">
        <f t="shared" si="65"/>
        <v>0</v>
      </c>
      <c r="BK84" s="21">
        <f t="shared" si="65"/>
        <v>0</v>
      </c>
      <c r="BL84" s="21">
        <f t="shared" si="65"/>
        <v>0</v>
      </c>
      <c r="BM84" s="21">
        <f t="shared" si="65"/>
        <v>0</v>
      </c>
      <c r="BN84" s="21">
        <f t="shared" si="65"/>
        <v>0</v>
      </c>
      <c r="BO84" s="21">
        <f t="shared" si="65"/>
        <v>0</v>
      </c>
      <c r="BP84" s="21">
        <f t="shared" si="65"/>
        <v>0</v>
      </c>
      <c r="BQ84" s="21">
        <f t="shared" si="65"/>
        <v>0</v>
      </c>
      <c r="BR84" s="21">
        <f t="shared" si="65"/>
        <v>0</v>
      </c>
      <c r="BS84" s="21">
        <f t="shared" si="65"/>
        <v>0</v>
      </c>
      <c r="BT84" s="21">
        <f t="shared" si="65"/>
        <v>0</v>
      </c>
      <c r="BU84" s="21">
        <f t="shared" si="65"/>
        <v>0</v>
      </c>
      <c r="BV84" s="21">
        <f t="shared" si="65"/>
        <v>0</v>
      </c>
      <c r="BW84" s="21">
        <f t="shared" si="65"/>
        <v>0</v>
      </c>
      <c r="BX84" s="21">
        <f t="shared" si="66"/>
        <v>8880000</v>
      </c>
      <c r="BY84" s="21">
        <f t="shared" si="66"/>
        <v>9040000</v>
      </c>
      <c r="BZ84" s="21">
        <f t="shared" si="66"/>
        <v>0</v>
      </c>
      <c r="CA84" s="21">
        <f t="shared" si="66"/>
        <v>0</v>
      </c>
      <c r="CB84" s="21">
        <f t="shared" si="66"/>
        <v>0</v>
      </c>
      <c r="CC84" s="21">
        <f t="shared" si="66"/>
        <v>0</v>
      </c>
      <c r="CD84" s="21">
        <f t="shared" si="66"/>
        <v>0</v>
      </c>
      <c r="CE84" s="23">
        <f t="shared" si="55"/>
        <v>0.34482758620689657</v>
      </c>
      <c r="CF84" s="21">
        <f t="shared" si="70"/>
        <v>12000000</v>
      </c>
      <c r="CG84" s="21">
        <f>+'[1]Acuerdo PLAN INVERSIÓN 2021'!$L$6056</f>
        <v>3920000</v>
      </c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>
        <f>+'[1]Acuerdo PLAN INVERSIÓN 2021'!$AA$6056</f>
        <v>6120000</v>
      </c>
      <c r="CX84" s="21">
        <f>+'[1]Acuerdo PLAN INVERSIÓN 2021'!$X$6056</f>
        <v>1960000</v>
      </c>
      <c r="CY84" s="21"/>
      <c r="CZ84" s="21"/>
      <c r="DA84" s="21"/>
      <c r="DB84" s="21"/>
      <c r="DC84" s="21"/>
      <c r="DD84" s="23">
        <f t="shared" si="56"/>
        <v>0.65517241379310343</v>
      </c>
      <c r="DE84" s="21">
        <f t="shared" si="45"/>
        <v>22800000</v>
      </c>
      <c r="DF84" s="21">
        <f t="shared" si="67"/>
        <v>4880000</v>
      </c>
      <c r="DG84" s="21">
        <f t="shared" si="67"/>
        <v>0</v>
      </c>
      <c r="DH84" s="21">
        <f t="shared" si="67"/>
        <v>0</v>
      </c>
      <c r="DI84" s="21">
        <f t="shared" si="67"/>
        <v>0</v>
      </c>
      <c r="DJ84" s="21">
        <f t="shared" si="67"/>
        <v>0</v>
      </c>
      <c r="DK84" s="21">
        <f t="shared" si="67"/>
        <v>0</v>
      </c>
      <c r="DL84" s="21">
        <f t="shared" si="67"/>
        <v>0</v>
      </c>
      <c r="DM84" s="21">
        <f t="shared" si="67"/>
        <v>0</v>
      </c>
      <c r="DN84" s="21">
        <f t="shared" si="67"/>
        <v>0</v>
      </c>
      <c r="DO84" s="21">
        <f t="shared" si="67"/>
        <v>0</v>
      </c>
      <c r="DP84" s="21">
        <f t="shared" si="67"/>
        <v>0</v>
      </c>
      <c r="DQ84" s="21">
        <f t="shared" si="67"/>
        <v>0</v>
      </c>
      <c r="DR84" s="21">
        <f t="shared" si="67"/>
        <v>0</v>
      </c>
      <c r="DS84" s="21">
        <f t="shared" si="67"/>
        <v>0</v>
      </c>
      <c r="DT84" s="21">
        <f t="shared" si="67"/>
        <v>0</v>
      </c>
      <c r="DU84" s="21">
        <f t="shared" si="67"/>
        <v>0</v>
      </c>
      <c r="DV84" s="21">
        <f t="shared" si="68"/>
        <v>8880000</v>
      </c>
      <c r="DW84" s="21">
        <f t="shared" si="68"/>
        <v>9040000</v>
      </c>
      <c r="DX84" s="21">
        <f t="shared" si="68"/>
        <v>0</v>
      </c>
      <c r="DY84" s="21">
        <f t="shared" si="68"/>
        <v>0</v>
      </c>
      <c r="DZ84" s="21">
        <f t="shared" si="68"/>
        <v>0</v>
      </c>
      <c r="EA84" s="21">
        <f t="shared" si="68"/>
        <v>0</v>
      </c>
      <c r="EB84" s="21">
        <f t="shared" si="68"/>
        <v>0</v>
      </c>
      <c r="ED84"/>
      <c r="EE84" s="39">
        <f t="shared" si="29"/>
        <v>34800000</v>
      </c>
      <c r="EF84" s="39">
        <f t="shared" si="30"/>
        <v>12000000</v>
      </c>
    </row>
    <row r="85" spans="1:137" s="38" customFormat="1" ht="33" hidden="1" customHeight="1" x14ac:dyDescent="0.25">
      <c r="A85" s="180"/>
      <c r="B85" s="173"/>
      <c r="C85" s="44" t="s">
        <v>254</v>
      </c>
      <c r="D85" s="29" t="s">
        <v>255</v>
      </c>
      <c r="E85" s="30">
        <v>301</v>
      </c>
      <c r="F85" s="31" t="s">
        <v>243</v>
      </c>
      <c r="G85" s="21">
        <f t="shared" si="63"/>
        <v>85000000</v>
      </c>
      <c r="H85" s="22">
        <v>141000000</v>
      </c>
      <c r="I85" s="22">
        <f t="shared" si="69"/>
        <v>56000000</v>
      </c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>
        <f>15000000</f>
        <v>15000000</v>
      </c>
      <c r="AB85" s="21"/>
      <c r="AC85" s="21">
        <v>70000000</v>
      </c>
      <c r="AD85" s="21"/>
      <c r="AE85" s="21"/>
      <c r="AF85" s="21"/>
      <c r="AG85" s="23">
        <f t="shared" si="54"/>
        <v>0.7803764352941176</v>
      </c>
      <c r="AH85" s="21">
        <f t="shared" si="40"/>
        <v>66331997</v>
      </c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>
        <f>+'[1]Acuerdo PLAN INVERSIÓN 2021'!$AB$6068</f>
        <v>66331997</v>
      </c>
      <c r="BC85" s="21"/>
      <c r="BD85" s="21"/>
      <c r="BE85" s="21"/>
      <c r="BF85" s="57">
        <f t="shared" si="57"/>
        <v>0.2196235647058824</v>
      </c>
      <c r="BG85" s="21">
        <f t="shared" si="64"/>
        <v>18668003</v>
      </c>
      <c r="BH85" s="21">
        <f t="shared" si="65"/>
        <v>0</v>
      </c>
      <c r="BI85" s="21">
        <f t="shared" si="65"/>
        <v>0</v>
      </c>
      <c r="BJ85" s="21">
        <f t="shared" si="65"/>
        <v>0</v>
      </c>
      <c r="BK85" s="21">
        <f t="shared" si="65"/>
        <v>0</v>
      </c>
      <c r="BL85" s="21">
        <f t="shared" si="65"/>
        <v>0</v>
      </c>
      <c r="BM85" s="21">
        <f t="shared" si="65"/>
        <v>0</v>
      </c>
      <c r="BN85" s="21">
        <f t="shared" si="65"/>
        <v>0</v>
      </c>
      <c r="BO85" s="21">
        <f t="shared" si="65"/>
        <v>0</v>
      </c>
      <c r="BP85" s="21">
        <f t="shared" si="65"/>
        <v>0</v>
      </c>
      <c r="BQ85" s="21">
        <f t="shared" si="65"/>
        <v>0</v>
      </c>
      <c r="BR85" s="21">
        <f t="shared" si="65"/>
        <v>0</v>
      </c>
      <c r="BS85" s="21">
        <f t="shared" si="65"/>
        <v>0</v>
      </c>
      <c r="BT85" s="21">
        <f t="shared" si="65"/>
        <v>0</v>
      </c>
      <c r="BU85" s="21">
        <f t="shared" si="65"/>
        <v>0</v>
      </c>
      <c r="BV85" s="21">
        <f t="shared" si="65"/>
        <v>0</v>
      </c>
      <c r="BW85" s="21">
        <f t="shared" si="65"/>
        <v>0</v>
      </c>
      <c r="BX85" s="21">
        <f t="shared" si="66"/>
        <v>0</v>
      </c>
      <c r="BY85" s="21">
        <f t="shared" si="66"/>
        <v>15000000</v>
      </c>
      <c r="BZ85" s="21">
        <f t="shared" si="66"/>
        <v>0</v>
      </c>
      <c r="CA85" s="21">
        <f t="shared" si="66"/>
        <v>3668003</v>
      </c>
      <c r="CB85" s="21">
        <f t="shared" si="66"/>
        <v>0</v>
      </c>
      <c r="CC85" s="21">
        <f t="shared" si="66"/>
        <v>0</v>
      </c>
      <c r="CD85" s="21">
        <f t="shared" si="66"/>
        <v>0</v>
      </c>
      <c r="CE85" s="23">
        <f t="shared" si="55"/>
        <v>0.7803764352941176</v>
      </c>
      <c r="CF85" s="21">
        <f t="shared" si="70"/>
        <v>66331997</v>
      </c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>
        <f>+'[1]Acuerdo PLAN INVERSIÓN 2021'!$AB$6068</f>
        <v>66331997</v>
      </c>
      <c r="DA85" s="21"/>
      <c r="DB85" s="21"/>
      <c r="DC85" s="21"/>
      <c r="DD85" s="57">
        <f t="shared" si="56"/>
        <v>0.2196235647058824</v>
      </c>
      <c r="DE85" s="21">
        <f t="shared" si="45"/>
        <v>18668003</v>
      </c>
      <c r="DF85" s="21">
        <f t="shared" si="67"/>
        <v>0</v>
      </c>
      <c r="DG85" s="21">
        <f t="shared" si="67"/>
        <v>0</v>
      </c>
      <c r="DH85" s="21">
        <f t="shared" si="67"/>
        <v>0</v>
      </c>
      <c r="DI85" s="21">
        <f t="shared" si="67"/>
        <v>0</v>
      </c>
      <c r="DJ85" s="21">
        <f t="shared" si="67"/>
        <v>0</v>
      </c>
      <c r="DK85" s="21">
        <f t="shared" si="67"/>
        <v>0</v>
      </c>
      <c r="DL85" s="21">
        <f t="shared" si="67"/>
        <v>0</v>
      </c>
      <c r="DM85" s="21">
        <f t="shared" si="67"/>
        <v>0</v>
      </c>
      <c r="DN85" s="21">
        <f t="shared" si="67"/>
        <v>0</v>
      </c>
      <c r="DO85" s="21">
        <f t="shared" si="67"/>
        <v>0</v>
      </c>
      <c r="DP85" s="21">
        <f t="shared" si="67"/>
        <v>0</v>
      </c>
      <c r="DQ85" s="21">
        <f t="shared" si="67"/>
        <v>0</v>
      </c>
      <c r="DR85" s="21">
        <f t="shared" si="67"/>
        <v>0</v>
      </c>
      <c r="DS85" s="21">
        <f t="shared" si="67"/>
        <v>0</v>
      </c>
      <c r="DT85" s="21">
        <f t="shared" si="67"/>
        <v>0</v>
      </c>
      <c r="DU85" s="21">
        <f t="shared" si="67"/>
        <v>0</v>
      </c>
      <c r="DV85" s="21">
        <f t="shared" si="68"/>
        <v>0</v>
      </c>
      <c r="DW85" s="21">
        <f t="shared" si="68"/>
        <v>15000000</v>
      </c>
      <c r="DX85" s="21">
        <f t="shared" si="68"/>
        <v>0</v>
      </c>
      <c r="DY85" s="21">
        <f t="shared" si="68"/>
        <v>3668003</v>
      </c>
      <c r="DZ85" s="21">
        <f t="shared" si="68"/>
        <v>0</v>
      </c>
      <c r="EA85" s="21">
        <f t="shared" si="68"/>
        <v>0</v>
      </c>
      <c r="EB85" s="21">
        <f t="shared" si="68"/>
        <v>0</v>
      </c>
      <c r="ED85"/>
      <c r="EE85" s="39">
        <f t="shared" si="29"/>
        <v>85000000</v>
      </c>
      <c r="EF85" s="39">
        <f t="shared" si="30"/>
        <v>66331997</v>
      </c>
      <c r="EG85"/>
    </row>
    <row r="86" spans="1:137" ht="27.75" hidden="1" customHeight="1" x14ac:dyDescent="0.25">
      <c r="A86" s="180"/>
      <c r="B86" s="171" t="s">
        <v>256</v>
      </c>
      <c r="C86" s="58" t="s">
        <v>257</v>
      </c>
      <c r="D86" s="29" t="s">
        <v>258</v>
      </c>
      <c r="E86" s="19">
        <v>301</v>
      </c>
      <c r="F86" s="20" t="s">
        <v>259</v>
      </c>
      <c r="G86" s="21">
        <f t="shared" si="63"/>
        <v>68000000</v>
      </c>
      <c r="H86" s="22">
        <v>97200000</v>
      </c>
      <c r="I86" s="22">
        <f t="shared" si="69"/>
        <v>29200000</v>
      </c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>
        <v>60000000</v>
      </c>
      <c r="AD86" s="21"/>
      <c r="AE86" s="21"/>
      <c r="AF86" s="21">
        <f>3000000+5000000</f>
        <v>8000000</v>
      </c>
      <c r="AG86" s="23">
        <f t="shared" si="54"/>
        <v>0.11739708823529411</v>
      </c>
      <c r="AH86" s="21">
        <f t="shared" si="40"/>
        <v>7983002</v>
      </c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>
        <f>+'[1]Acuerdo PLAN INVERSIÓN 2021'!$AF$6090</f>
        <v>7983002</v>
      </c>
      <c r="BF86" s="23">
        <f t="shared" si="57"/>
        <v>0.88260291176470584</v>
      </c>
      <c r="BG86" s="21">
        <f t="shared" si="64"/>
        <v>60016998</v>
      </c>
      <c r="BH86" s="21">
        <f t="shared" si="65"/>
        <v>0</v>
      </c>
      <c r="BI86" s="21">
        <f t="shared" si="65"/>
        <v>0</v>
      </c>
      <c r="BJ86" s="21">
        <f t="shared" si="65"/>
        <v>0</v>
      </c>
      <c r="BK86" s="21">
        <f t="shared" si="65"/>
        <v>0</v>
      </c>
      <c r="BL86" s="21">
        <f t="shared" si="65"/>
        <v>0</v>
      </c>
      <c r="BM86" s="21">
        <f t="shared" si="65"/>
        <v>0</v>
      </c>
      <c r="BN86" s="21">
        <f t="shared" si="65"/>
        <v>0</v>
      </c>
      <c r="BO86" s="21">
        <f t="shared" si="65"/>
        <v>0</v>
      </c>
      <c r="BP86" s="21">
        <f t="shared" si="65"/>
        <v>0</v>
      </c>
      <c r="BQ86" s="21">
        <f t="shared" si="65"/>
        <v>0</v>
      </c>
      <c r="BR86" s="21">
        <f t="shared" si="65"/>
        <v>0</v>
      </c>
      <c r="BS86" s="21">
        <f t="shared" si="65"/>
        <v>0</v>
      </c>
      <c r="BT86" s="21">
        <f t="shared" si="65"/>
        <v>0</v>
      </c>
      <c r="BU86" s="21">
        <f t="shared" si="65"/>
        <v>0</v>
      </c>
      <c r="BV86" s="21">
        <f t="shared" si="65"/>
        <v>0</v>
      </c>
      <c r="BW86" s="21">
        <f t="shared" si="65"/>
        <v>0</v>
      </c>
      <c r="BX86" s="21">
        <f t="shared" si="66"/>
        <v>0</v>
      </c>
      <c r="BY86" s="21">
        <f t="shared" si="66"/>
        <v>0</v>
      </c>
      <c r="BZ86" s="21">
        <f t="shared" si="66"/>
        <v>0</v>
      </c>
      <c r="CA86" s="21">
        <f t="shared" si="66"/>
        <v>60000000</v>
      </c>
      <c r="CB86" s="21">
        <f t="shared" si="66"/>
        <v>0</v>
      </c>
      <c r="CC86" s="21">
        <f t="shared" si="66"/>
        <v>0</v>
      </c>
      <c r="CD86" s="21">
        <f t="shared" si="66"/>
        <v>16998</v>
      </c>
      <c r="CE86" s="23">
        <f t="shared" si="55"/>
        <v>0.11739708823529411</v>
      </c>
      <c r="CF86" s="21">
        <f t="shared" si="70"/>
        <v>7983002</v>
      </c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>
        <f>+'[4]Acuerdo PLAN INVERSIÓN 2021'!$H$2463+'[5]Acuerdo PLAN INVERSIÓN 2021'!$H$5801</f>
        <v>7983002</v>
      </c>
      <c r="DD86" s="23">
        <f t="shared" si="56"/>
        <v>0.88260291176470584</v>
      </c>
      <c r="DE86" s="21">
        <f t="shared" si="45"/>
        <v>60016998</v>
      </c>
      <c r="DF86" s="21">
        <f t="shared" si="67"/>
        <v>0</v>
      </c>
      <c r="DG86" s="21">
        <f t="shared" si="67"/>
        <v>0</v>
      </c>
      <c r="DH86" s="21">
        <f t="shared" si="67"/>
        <v>0</v>
      </c>
      <c r="DI86" s="21">
        <f t="shared" si="67"/>
        <v>0</v>
      </c>
      <c r="DJ86" s="21">
        <f t="shared" si="67"/>
        <v>0</v>
      </c>
      <c r="DK86" s="21">
        <f t="shared" si="67"/>
        <v>0</v>
      </c>
      <c r="DL86" s="21">
        <f t="shared" si="67"/>
        <v>0</v>
      </c>
      <c r="DM86" s="21">
        <f t="shared" si="67"/>
        <v>0</v>
      </c>
      <c r="DN86" s="21">
        <f t="shared" si="67"/>
        <v>0</v>
      </c>
      <c r="DO86" s="21">
        <f t="shared" si="67"/>
        <v>0</v>
      </c>
      <c r="DP86" s="21">
        <f t="shared" si="67"/>
        <v>0</v>
      </c>
      <c r="DQ86" s="21">
        <f t="shared" si="67"/>
        <v>0</v>
      </c>
      <c r="DR86" s="21">
        <f t="shared" si="67"/>
        <v>0</v>
      </c>
      <c r="DS86" s="21">
        <f t="shared" si="67"/>
        <v>0</v>
      </c>
      <c r="DT86" s="21">
        <f t="shared" si="67"/>
        <v>0</v>
      </c>
      <c r="DU86" s="21">
        <f t="shared" si="67"/>
        <v>0</v>
      </c>
      <c r="DV86" s="21">
        <f t="shared" si="68"/>
        <v>0</v>
      </c>
      <c r="DW86" s="21">
        <f t="shared" si="68"/>
        <v>0</v>
      </c>
      <c r="DX86" s="21">
        <f t="shared" si="68"/>
        <v>0</v>
      </c>
      <c r="DY86" s="21">
        <f t="shared" si="68"/>
        <v>60000000</v>
      </c>
      <c r="DZ86" s="21">
        <f t="shared" si="68"/>
        <v>0</v>
      </c>
      <c r="EA86" s="21">
        <f t="shared" si="68"/>
        <v>0</v>
      </c>
      <c r="EB86" s="21">
        <f t="shared" si="68"/>
        <v>16998</v>
      </c>
      <c r="ED86" s="64"/>
      <c r="EE86" s="39">
        <f t="shared" si="29"/>
        <v>68000000</v>
      </c>
      <c r="EF86" s="39">
        <f t="shared" si="30"/>
        <v>7983002</v>
      </c>
    </row>
    <row r="87" spans="1:137" ht="20.25" hidden="1" customHeight="1" x14ac:dyDescent="0.25">
      <c r="A87" s="180"/>
      <c r="B87" s="172"/>
      <c r="C87" s="58" t="s">
        <v>260</v>
      </c>
      <c r="D87" s="29" t="s">
        <v>261</v>
      </c>
      <c r="E87" s="19">
        <v>301</v>
      </c>
      <c r="F87" s="20" t="s">
        <v>243</v>
      </c>
      <c r="G87" s="21">
        <f t="shared" si="63"/>
        <v>300000000</v>
      </c>
      <c r="H87" s="22">
        <v>421000000</v>
      </c>
      <c r="I87" s="22">
        <f t="shared" si="69"/>
        <v>121000000</v>
      </c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>
        <v>300000000</v>
      </c>
      <c r="AD87" s="21"/>
      <c r="AE87" s="21"/>
      <c r="AF87" s="21"/>
      <c r="AG87" s="23">
        <f t="shared" si="54"/>
        <v>0.93503333333333338</v>
      </c>
      <c r="AH87" s="21">
        <f t="shared" si="40"/>
        <v>280510000</v>
      </c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>
        <f>+'[1]Acuerdo PLAN INVERSIÓN 2021'!$AB$6106</f>
        <v>280510000</v>
      </c>
      <c r="BC87" s="21"/>
      <c r="BD87" s="21"/>
      <c r="BE87" s="21"/>
      <c r="BF87" s="23">
        <f t="shared" si="57"/>
        <v>6.4966666666666617E-2</v>
      </c>
      <c r="BG87" s="21">
        <f t="shared" si="64"/>
        <v>19490000</v>
      </c>
      <c r="BH87" s="21">
        <f t="shared" si="65"/>
        <v>0</v>
      </c>
      <c r="BI87" s="21">
        <f t="shared" si="65"/>
        <v>0</v>
      </c>
      <c r="BJ87" s="21">
        <f t="shared" si="65"/>
        <v>0</v>
      </c>
      <c r="BK87" s="21">
        <f t="shared" si="65"/>
        <v>0</v>
      </c>
      <c r="BL87" s="21">
        <f t="shared" si="65"/>
        <v>0</v>
      </c>
      <c r="BM87" s="21">
        <f t="shared" si="65"/>
        <v>0</v>
      </c>
      <c r="BN87" s="21">
        <f t="shared" si="65"/>
        <v>0</v>
      </c>
      <c r="BO87" s="21">
        <f t="shared" si="65"/>
        <v>0</v>
      </c>
      <c r="BP87" s="21">
        <f t="shared" si="65"/>
        <v>0</v>
      </c>
      <c r="BQ87" s="21">
        <f t="shared" si="65"/>
        <v>0</v>
      </c>
      <c r="BR87" s="21">
        <f t="shared" si="65"/>
        <v>0</v>
      </c>
      <c r="BS87" s="21">
        <f t="shared" si="65"/>
        <v>0</v>
      </c>
      <c r="BT87" s="21">
        <f t="shared" si="65"/>
        <v>0</v>
      </c>
      <c r="BU87" s="21">
        <f t="shared" si="65"/>
        <v>0</v>
      </c>
      <c r="BV87" s="21">
        <f t="shared" si="65"/>
        <v>0</v>
      </c>
      <c r="BW87" s="21">
        <f t="shared" si="65"/>
        <v>0</v>
      </c>
      <c r="BX87" s="21">
        <f t="shared" si="66"/>
        <v>0</v>
      </c>
      <c r="BY87" s="21">
        <f t="shared" si="66"/>
        <v>0</v>
      </c>
      <c r="BZ87" s="21">
        <f t="shared" si="66"/>
        <v>0</v>
      </c>
      <c r="CA87" s="21">
        <f t="shared" si="66"/>
        <v>19490000</v>
      </c>
      <c r="CB87" s="21">
        <f t="shared" si="66"/>
        <v>0</v>
      </c>
      <c r="CC87" s="21">
        <f t="shared" si="66"/>
        <v>0</v>
      </c>
      <c r="CD87" s="21">
        <f t="shared" si="66"/>
        <v>0</v>
      </c>
      <c r="CE87" s="23">
        <f t="shared" si="55"/>
        <v>0.93503333333333338</v>
      </c>
      <c r="CF87" s="21">
        <f t="shared" si="70"/>
        <v>280510000</v>
      </c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>
        <f>+'[1]Acuerdo PLAN INVERSIÓN 2021'!$AB$6106</f>
        <v>280510000</v>
      </c>
      <c r="DA87" s="21"/>
      <c r="DB87" s="21"/>
      <c r="DC87" s="21"/>
      <c r="DD87" s="23">
        <f t="shared" si="56"/>
        <v>6.4966666666666617E-2</v>
      </c>
      <c r="DE87" s="21">
        <f t="shared" si="45"/>
        <v>19490000</v>
      </c>
      <c r="DF87" s="21">
        <f t="shared" si="67"/>
        <v>0</v>
      </c>
      <c r="DG87" s="21">
        <f t="shared" si="67"/>
        <v>0</v>
      </c>
      <c r="DH87" s="21">
        <f t="shared" si="67"/>
        <v>0</v>
      </c>
      <c r="DI87" s="21">
        <f t="shared" si="67"/>
        <v>0</v>
      </c>
      <c r="DJ87" s="21">
        <f t="shared" si="67"/>
        <v>0</v>
      </c>
      <c r="DK87" s="21">
        <f t="shared" si="67"/>
        <v>0</v>
      </c>
      <c r="DL87" s="21">
        <f t="shared" si="67"/>
        <v>0</v>
      </c>
      <c r="DM87" s="21">
        <f t="shared" si="67"/>
        <v>0</v>
      </c>
      <c r="DN87" s="21">
        <f t="shared" si="67"/>
        <v>0</v>
      </c>
      <c r="DO87" s="21">
        <f t="shared" si="67"/>
        <v>0</v>
      </c>
      <c r="DP87" s="21">
        <f t="shared" si="67"/>
        <v>0</v>
      </c>
      <c r="DQ87" s="21">
        <f t="shared" si="67"/>
        <v>0</v>
      </c>
      <c r="DR87" s="21">
        <f t="shared" si="67"/>
        <v>0</v>
      </c>
      <c r="DS87" s="21">
        <f t="shared" si="67"/>
        <v>0</v>
      </c>
      <c r="DT87" s="21">
        <f t="shared" si="67"/>
        <v>0</v>
      </c>
      <c r="DU87" s="21">
        <f t="shared" si="67"/>
        <v>0</v>
      </c>
      <c r="DV87" s="21">
        <f t="shared" si="68"/>
        <v>0</v>
      </c>
      <c r="DW87" s="21">
        <f t="shared" si="68"/>
        <v>0</v>
      </c>
      <c r="DX87" s="21">
        <f t="shared" si="68"/>
        <v>0</v>
      </c>
      <c r="DY87" s="21">
        <f t="shared" si="68"/>
        <v>19490000</v>
      </c>
      <c r="DZ87" s="21">
        <f t="shared" si="68"/>
        <v>0</v>
      </c>
      <c r="EA87" s="21">
        <f t="shared" si="68"/>
        <v>0</v>
      </c>
      <c r="EB87" s="21">
        <f t="shared" si="68"/>
        <v>0</v>
      </c>
      <c r="ED87" s="64"/>
      <c r="EE87" s="39">
        <f t="shared" si="29"/>
        <v>300000000</v>
      </c>
      <c r="EF87" s="39">
        <f t="shared" si="30"/>
        <v>280510000</v>
      </c>
    </row>
    <row r="88" spans="1:137" ht="31.5" hidden="1" customHeight="1" x14ac:dyDescent="0.25">
      <c r="A88" s="180"/>
      <c r="B88" s="173"/>
      <c r="C88" s="58" t="s">
        <v>262</v>
      </c>
      <c r="D88" s="29" t="s">
        <v>263</v>
      </c>
      <c r="E88" s="19">
        <v>301</v>
      </c>
      <c r="F88" s="20" t="s">
        <v>264</v>
      </c>
      <c r="G88" s="21">
        <f t="shared" si="63"/>
        <v>305000000</v>
      </c>
      <c r="H88" s="22">
        <v>130000000</v>
      </c>
      <c r="I88" s="22">
        <f t="shared" si="69"/>
        <v>-175000000</v>
      </c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>
        <f>200000000</f>
        <v>200000000</v>
      </c>
      <c r="AB88" s="21"/>
      <c r="AC88" s="21">
        <v>100000000</v>
      </c>
      <c r="AD88" s="21"/>
      <c r="AE88" s="21"/>
      <c r="AF88" s="21">
        <v>5000000</v>
      </c>
      <c r="AG88" s="23">
        <f t="shared" si="54"/>
        <v>0.33443985573770491</v>
      </c>
      <c r="AH88" s="21">
        <f t="shared" si="40"/>
        <v>102004156</v>
      </c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>
        <f>+'[1]Acuerdo PLAN INVERSIÓN 2021'!$X$6196</f>
        <v>10424156</v>
      </c>
      <c r="BA88" s="21"/>
      <c r="BB88" s="21">
        <f>+'[1]Acuerdo PLAN INVERSIÓN 2021'!$AB$6196</f>
        <v>91580000</v>
      </c>
      <c r="BC88" s="21"/>
      <c r="BD88" s="21"/>
      <c r="BE88" s="21"/>
      <c r="BF88" s="23">
        <f t="shared" si="57"/>
        <v>0.66556014426229515</v>
      </c>
      <c r="BG88" s="21">
        <f t="shared" si="64"/>
        <v>202995844</v>
      </c>
      <c r="BH88" s="21">
        <f t="shared" si="65"/>
        <v>0</v>
      </c>
      <c r="BI88" s="21">
        <f t="shared" si="65"/>
        <v>0</v>
      </c>
      <c r="BJ88" s="21">
        <f t="shared" si="65"/>
        <v>0</v>
      </c>
      <c r="BK88" s="21">
        <f t="shared" si="65"/>
        <v>0</v>
      </c>
      <c r="BL88" s="21">
        <f t="shared" si="65"/>
        <v>0</v>
      </c>
      <c r="BM88" s="21">
        <f t="shared" si="65"/>
        <v>0</v>
      </c>
      <c r="BN88" s="21">
        <f t="shared" si="65"/>
        <v>0</v>
      </c>
      <c r="BO88" s="21">
        <f t="shared" si="65"/>
        <v>0</v>
      </c>
      <c r="BP88" s="21">
        <f t="shared" si="65"/>
        <v>0</v>
      </c>
      <c r="BQ88" s="21">
        <f t="shared" si="65"/>
        <v>0</v>
      </c>
      <c r="BR88" s="21">
        <f t="shared" si="65"/>
        <v>0</v>
      </c>
      <c r="BS88" s="21">
        <f t="shared" si="65"/>
        <v>0</v>
      </c>
      <c r="BT88" s="21">
        <f t="shared" si="65"/>
        <v>0</v>
      </c>
      <c r="BU88" s="21">
        <f t="shared" si="65"/>
        <v>0</v>
      </c>
      <c r="BV88" s="21">
        <f t="shared" si="65"/>
        <v>0</v>
      </c>
      <c r="BW88" s="21">
        <f t="shared" si="65"/>
        <v>0</v>
      </c>
      <c r="BX88" s="21">
        <f t="shared" si="66"/>
        <v>0</v>
      </c>
      <c r="BY88" s="21">
        <f t="shared" si="66"/>
        <v>189575844</v>
      </c>
      <c r="BZ88" s="21">
        <f t="shared" si="66"/>
        <v>0</v>
      </c>
      <c r="CA88" s="21">
        <f t="shared" si="66"/>
        <v>8420000</v>
      </c>
      <c r="CB88" s="21">
        <f t="shared" si="66"/>
        <v>0</v>
      </c>
      <c r="CC88" s="21">
        <f t="shared" si="66"/>
        <v>0</v>
      </c>
      <c r="CD88" s="21">
        <f t="shared" si="66"/>
        <v>5000000</v>
      </c>
      <c r="CE88" s="23">
        <f t="shared" si="55"/>
        <v>0.33443985573770491</v>
      </c>
      <c r="CF88" s="21">
        <f t="shared" si="70"/>
        <v>102004156</v>
      </c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>
        <f>+'[5]Acuerdo PLAN INVERSIÓN 2021'!$H$5894-CZ88</f>
        <v>10424156</v>
      </c>
      <c r="CY88" s="21"/>
      <c r="CZ88" s="21">
        <f>+'[5]Acuerdo PLAN INVERSIÓN 2021'!$H$5901</f>
        <v>91580000</v>
      </c>
      <c r="DA88" s="21"/>
      <c r="DB88" s="21"/>
      <c r="DC88" s="21"/>
      <c r="DD88" s="23">
        <f t="shared" si="56"/>
        <v>0.66556014426229515</v>
      </c>
      <c r="DE88" s="21">
        <f t="shared" si="45"/>
        <v>202995844</v>
      </c>
      <c r="DF88" s="21">
        <f t="shared" si="67"/>
        <v>0</v>
      </c>
      <c r="DG88" s="21">
        <f t="shared" si="67"/>
        <v>0</v>
      </c>
      <c r="DH88" s="21">
        <f t="shared" si="67"/>
        <v>0</v>
      </c>
      <c r="DI88" s="21">
        <f t="shared" si="67"/>
        <v>0</v>
      </c>
      <c r="DJ88" s="21">
        <f t="shared" si="67"/>
        <v>0</v>
      </c>
      <c r="DK88" s="21">
        <f t="shared" si="67"/>
        <v>0</v>
      </c>
      <c r="DL88" s="21">
        <f t="shared" si="67"/>
        <v>0</v>
      </c>
      <c r="DM88" s="21">
        <f t="shared" si="67"/>
        <v>0</v>
      </c>
      <c r="DN88" s="21">
        <f t="shared" si="67"/>
        <v>0</v>
      </c>
      <c r="DO88" s="21">
        <f t="shared" si="67"/>
        <v>0</v>
      </c>
      <c r="DP88" s="21">
        <f t="shared" si="67"/>
        <v>0</v>
      </c>
      <c r="DQ88" s="21">
        <f t="shared" si="67"/>
        <v>0</v>
      </c>
      <c r="DR88" s="21">
        <f t="shared" si="67"/>
        <v>0</v>
      </c>
      <c r="DS88" s="21">
        <f t="shared" si="67"/>
        <v>0</v>
      </c>
      <c r="DT88" s="21">
        <f t="shared" si="67"/>
        <v>0</v>
      </c>
      <c r="DU88" s="21">
        <f t="shared" si="67"/>
        <v>0</v>
      </c>
      <c r="DV88" s="21">
        <f t="shared" si="68"/>
        <v>0</v>
      </c>
      <c r="DW88" s="21">
        <f t="shared" si="68"/>
        <v>189575844</v>
      </c>
      <c r="DX88" s="21">
        <f t="shared" si="68"/>
        <v>0</v>
      </c>
      <c r="DY88" s="21">
        <f t="shared" si="68"/>
        <v>8420000</v>
      </c>
      <c r="DZ88" s="21">
        <f t="shared" si="68"/>
        <v>0</v>
      </c>
      <c r="EA88" s="21">
        <f t="shared" si="68"/>
        <v>0</v>
      </c>
      <c r="EB88" s="21">
        <f t="shared" si="68"/>
        <v>5000000</v>
      </c>
      <c r="EE88" s="39">
        <f t="shared" si="29"/>
        <v>305000000</v>
      </c>
      <c r="EF88" s="39">
        <f t="shared" si="30"/>
        <v>102004156</v>
      </c>
      <c r="EG88" s="38"/>
    </row>
    <row r="89" spans="1:137" s="38" customFormat="1" ht="19.2" hidden="1" customHeight="1" x14ac:dyDescent="0.25">
      <c r="A89" s="180"/>
      <c r="B89" s="171" t="s">
        <v>265</v>
      </c>
      <c r="C89" s="44" t="s">
        <v>266</v>
      </c>
      <c r="D89" s="29" t="s">
        <v>267</v>
      </c>
      <c r="E89" s="30">
        <v>301</v>
      </c>
      <c r="F89" s="31" t="s">
        <v>243</v>
      </c>
      <c r="G89" s="21">
        <f t="shared" si="63"/>
        <v>238583573</v>
      </c>
      <c r="H89" s="22">
        <v>205624500</v>
      </c>
      <c r="I89" s="22">
        <f t="shared" si="69"/>
        <v>-32959073</v>
      </c>
      <c r="J89" s="47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>
        <v>91142282</v>
      </c>
      <c r="AB89" s="21"/>
      <c r="AC89" s="47">
        <v>147441291</v>
      </c>
      <c r="AD89" s="21"/>
      <c r="AE89" s="21"/>
      <c r="AF89" s="21"/>
      <c r="AG89" s="23">
        <f t="shared" si="54"/>
        <v>0.34976290676978</v>
      </c>
      <c r="AH89" s="21">
        <f t="shared" si="40"/>
        <v>83447684</v>
      </c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>
        <f>+'[1]Acuerdo PLAN INVERSIÓN 2021'!$X$6226</f>
        <v>63489351</v>
      </c>
      <c r="BA89" s="21"/>
      <c r="BB89" s="21">
        <f>+'[1]Acuerdo PLAN INVERSIÓN 2021'!$AB$6226</f>
        <v>19958333</v>
      </c>
      <c r="BC89" s="21"/>
      <c r="BD89" s="21"/>
      <c r="BE89" s="21"/>
      <c r="BF89" s="57">
        <f t="shared" si="57"/>
        <v>0.65023709323021994</v>
      </c>
      <c r="BG89" s="21">
        <f t="shared" si="64"/>
        <v>155135889</v>
      </c>
      <c r="BH89" s="21">
        <f t="shared" si="65"/>
        <v>0</v>
      </c>
      <c r="BI89" s="21">
        <f t="shared" si="65"/>
        <v>0</v>
      </c>
      <c r="BJ89" s="21">
        <f t="shared" si="65"/>
        <v>0</v>
      </c>
      <c r="BK89" s="21">
        <f t="shared" si="65"/>
        <v>0</v>
      </c>
      <c r="BL89" s="21">
        <f t="shared" si="65"/>
        <v>0</v>
      </c>
      <c r="BM89" s="21">
        <f t="shared" si="65"/>
        <v>0</v>
      </c>
      <c r="BN89" s="21">
        <f t="shared" si="65"/>
        <v>0</v>
      </c>
      <c r="BO89" s="21">
        <f t="shared" si="65"/>
        <v>0</v>
      </c>
      <c r="BP89" s="21">
        <f t="shared" si="65"/>
        <v>0</v>
      </c>
      <c r="BQ89" s="21">
        <f t="shared" si="65"/>
        <v>0</v>
      </c>
      <c r="BR89" s="21">
        <f t="shared" si="65"/>
        <v>0</v>
      </c>
      <c r="BS89" s="21">
        <f t="shared" si="65"/>
        <v>0</v>
      </c>
      <c r="BT89" s="21">
        <f t="shared" si="65"/>
        <v>0</v>
      </c>
      <c r="BU89" s="21">
        <f t="shared" si="65"/>
        <v>0</v>
      </c>
      <c r="BV89" s="21">
        <f t="shared" si="65"/>
        <v>0</v>
      </c>
      <c r="BW89" s="21">
        <f t="shared" si="65"/>
        <v>0</v>
      </c>
      <c r="BX89" s="21">
        <f t="shared" si="66"/>
        <v>0</v>
      </c>
      <c r="BY89" s="21">
        <f t="shared" si="66"/>
        <v>27652931</v>
      </c>
      <c r="BZ89" s="21">
        <f t="shared" si="66"/>
        <v>0</v>
      </c>
      <c r="CA89" s="21">
        <f t="shared" si="66"/>
        <v>127482958</v>
      </c>
      <c r="CB89" s="21">
        <f t="shared" si="66"/>
        <v>0</v>
      </c>
      <c r="CC89" s="21">
        <f t="shared" si="66"/>
        <v>0</v>
      </c>
      <c r="CD89" s="21">
        <f t="shared" si="66"/>
        <v>0</v>
      </c>
      <c r="CE89" s="23">
        <f t="shared" si="55"/>
        <v>0.34976290676978</v>
      </c>
      <c r="CF89" s="21">
        <f t="shared" si="70"/>
        <v>83447684</v>
      </c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>
        <f>+'[1]Acuerdo PLAN INVERSIÓN 2021'!$X$6226</f>
        <v>63489351</v>
      </c>
      <c r="CY89" s="21"/>
      <c r="CZ89" s="21">
        <f>+'[1]Acuerdo PLAN INVERSIÓN 2021'!$AB$6226</f>
        <v>19958333</v>
      </c>
      <c r="DA89" s="21"/>
      <c r="DB89" s="21"/>
      <c r="DC89" s="21"/>
      <c r="DD89" s="57">
        <f t="shared" si="56"/>
        <v>0.65023709323021994</v>
      </c>
      <c r="DE89" s="21">
        <f t="shared" si="45"/>
        <v>155135889</v>
      </c>
      <c r="DF89" s="21">
        <f t="shared" si="67"/>
        <v>0</v>
      </c>
      <c r="DG89" s="21">
        <f t="shared" si="67"/>
        <v>0</v>
      </c>
      <c r="DH89" s="21">
        <f t="shared" si="67"/>
        <v>0</v>
      </c>
      <c r="DI89" s="21">
        <f t="shared" si="67"/>
        <v>0</v>
      </c>
      <c r="DJ89" s="21">
        <f t="shared" si="67"/>
        <v>0</v>
      </c>
      <c r="DK89" s="21">
        <f t="shared" si="67"/>
        <v>0</v>
      </c>
      <c r="DL89" s="21">
        <f t="shared" si="67"/>
        <v>0</v>
      </c>
      <c r="DM89" s="21">
        <f t="shared" si="67"/>
        <v>0</v>
      </c>
      <c r="DN89" s="21">
        <f t="shared" si="67"/>
        <v>0</v>
      </c>
      <c r="DO89" s="21">
        <f t="shared" si="67"/>
        <v>0</v>
      </c>
      <c r="DP89" s="21">
        <f t="shared" si="67"/>
        <v>0</v>
      </c>
      <c r="DQ89" s="21">
        <f t="shared" si="67"/>
        <v>0</v>
      </c>
      <c r="DR89" s="21">
        <f t="shared" si="67"/>
        <v>0</v>
      </c>
      <c r="DS89" s="21">
        <f t="shared" si="67"/>
        <v>0</v>
      </c>
      <c r="DT89" s="21">
        <f t="shared" si="67"/>
        <v>0</v>
      </c>
      <c r="DU89" s="21">
        <f t="shared" si="67"/>
        <v>0</v>
      </c>
      <c r="DV89" s="21">
        <f t="shared" si="68"/>
        <v>0</v>
      </c>
      <c r="DW89" s="21">
        <f t="shared" si="68"/>
        <v>27652931</v>
      </c>
      <c r="DX89" s="21">
        <f t="shared" si="68"/>
        <v>0</v>
      </c>
      <c r="DY89" s="21">
        <f t="shared" si="68"/>
        <v>127482958</v>
      </c>
      <c r="DZ89" s="21">
        <f t="shared" si="68"/>
        <v>0</v>
      </c>
      <c r="EA89" s="21">
        <f t="shared" si="68"/>
        <v>0</v>
      </c>
      <c r="EB89" s="21">
        <f t="shared" si="68"/>
        <v>0</v>
      </c>
      <c r="ED89"/>
      <c r="EE89" s="39">
        <f t="shared" si="29"/>
        <v>238583573</v>
      </c>
      <c r="EF89" s="39">
        <f t="shared" si="30"/>
        <v>83447684</v>
      </c>
      <c r="EG89"/>
    </row>
    <row r="90" spans="1:137" ht="28.5" hidden="1" customHeight="1" x14ac:dyDescent="0.25">
      <c r="A90" s="180"/>
      <c r="B90" s="173"/>
      <c r="C90" s="44" t="s">
        <v>268</v>
      </c>
      <c r="D90" s="18" t="s">
        <v>269</v>
      </c>
      <c r="E90" s="19">
        <v>301</v>
      </c>
      <c r="F90" s="20" t="s">
        <v>270</v>
      </c>
      <c r="G90" s="21">
        <f t="shared" si="63"/>
        <v>327243035</v>
      </c>
      <c r="H90" s="22">
        <v>411249000</v>
      </c>
      <c r="I90" s="22">
        <f t="shared" si="69"/>
        <v>84005965</v>
      </c>
      <c r="J90" s="21"/>
      <c r="K90" s="21"/>
      <c r="L90" s="21">
        <v>24243035</v>
      </c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>
        <v>300000000</v>
      </c>
      <c r="AD90" s="21"/>
      <c r="AE90" s="21"/>
      <c r="AF90" s="21">
        <v>3000000</v>
      </c>
      <c r="AG90" s="23">
        <f t="shared" si="54"/>
        <v>0.90361994411890234</v>
      </c>
      <c r="AH90" s="21">
        <f t="shared" si="40"/>
        <v>295703333</v>
      </c>
      <c r="AI90" s="21"/>
      <c r="AJ90" s="21"/>
      <c r="AK90" s="21">
        <f>+'[7]Acuerdo PLAN INVERSIÓN 2021'!$K$3521</f>
        <v>2000000</v>
      </c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>
        <f>+'[1]Acuerdo PLAN INVERSIÓN 2021'!$AB$6291</f>
        <v>290703333</v>
      </c>
      <c r="BC90" s="21"/>
      <c r="BD90" s="21"/>
      <c r="BE90" s="21">
        <f>+'[8]Acuerdo PLAN INVERSIÓN 2021'!$AF$5143</f>
        <v>3000000</v>
      </c>
      <c r="BF90" s="23">
        <f t="shared" si="57"/>
        <v>9.6380055881097659E-2</v>
      </c>
      <c r="BG90" s="21">
        <f t="shared" si="64"/>
        <v>31539702</v>
      </c>
      <c r="BH90" s="21">
        <f t="shared" si="65"/>
        <v>0</v>
      </c>
      <c r="BI90" s="21">
        <f t="shared" si="65"/>
        <v>0</v>
      </c>
      <c r="BJ90" s="21">
        <f t="shared" si="65"/>
        <v>22243035</v>
      </c>
      <c r="BK90" s="21">
        <f t="shared" si="65"/>
        <v>0</v>
      </c>
      <c r="BL90" s="21">
        <f t="shared" si="65"/>
        <v>0</v>
      </c>
      <c r="BM90" s="21">
        <f t="shared" si="65"/>
        <v>0</v>
      </c>
      <c r="BN90" s="21">
        <f t="shared" si="65"/>
        <v>0</v>
      </c>
      <c r="BO90" s="21">
        <f t="shared" si="65"/>
        <v>0</v>
      </c>
      <c r="BP90" s="21">
        <f t="shared" si="65"/>
        <v>0</v>
      </c>
      <c r="BQ90" s="21">
        <f t="shared" si="65"/>
        <v>0</v>
      </c>
      <c r="BR90" s="21">
        <f t="shared" si="65"/>
        <v>0</v>
      </c>
      <c r="BS90" s="21">
        <f t="shared" si="65"/>
        <v>0</v>
      </c>
      <c r="BT90" s="21">
        <f t="shared" si="65"/>
        <v>0</v>
      </c>
      <c r="BU90" s="21">
        <f t="shared" si="65"/>
        <v>0</v>
      </c>
      <c r="BV90" s="21">
        <f t="shared" si="65"/>
        <v>0</v>
      </c>
      <c r="BW90" s="21">
        <f t="shared" si="65"/>
        <v>0</v>
      </c>
      <c r="BX90" s="21">
        <f t="shared" si="66"/>
        <v>0</v>
      </c>
      <c r="BY90" s="21">
        <f t="shared" si="66"/>
        <v>0</v>
      </c>
      <c r="BZ90" s="21">
        <f t="shared" si="66"/>
        <v>0</v>
      </c>
      <c r="CA90" s="21">
        <f t="shared" si="66"/>
        <v>9296667</v>
      </c>
      <c r="CB90" s="21">
        <f t="shared" si="66"/>
        <v>0</v>
      </c>
      <c r="CC90" s="21">
        <f t="shared" si="66"/>
        <v>0</v>
      </c>
      <c r="CD90" s="21">
        <f t="shared" si="66"/>
        <v>0</v>
      </c>
      <c r="CE90" s="23">
        <f t="shared" si="55"/>
        <v>0.90361994411890234</v>
      </c>
      <c r="CF90" s="21">
        <f t="shared" si="70"/>
        <v>295703333</v>
      </c>
      <c r="CG90" s="21"/>
      <c r="CH90" s="21"/>
      <c r="CI90" s="21">
        <f>+'[7]Acuerdo PLAN INVERSIÓN 2021'!$H$3546</f>
        <v>2000000</v>
      </c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>
        <f>+'[3]Acuerdo PLAN INVERSIÓN 2021'!$H$4281-CI90</f>
        <v>290703333</v>
      </c>
      <c r="DA90" s="21"/>
      <c r="DB90" s="21"/>
      <c r="DC90" s="21">
        <f>+'[5]Acuerdo PLAN INVERSIÓN 2021'!$H$6035</f>
        <v>3000000</v>
      </c>
      <c r="DD90" s="23">
        <f t="shared" si="56"/>
        <v>9.6380055881097659E-2</v>
      </c>
      <c r="DE90" s="21">
        <f t="shared" si="45"/>
        <v>31539702</v>
      </c>
      <c r="DF90" s="21">
        <f t="shared" si="67"/>
        <v>0</v>
      </c>
      <c r="DG90" s="21">
        <f t="shared" si="67"/>
        <v>0</v>
      </c>
      <c r="DH90" s="21">
        <f t="shared" si="67"/>
        <v>22243035</v>
      </c>
      <c r="DI90" s="21">
        <f t="shared" si="67"/>
        <v>0</v>
      </c>
      <c r="DJ90" s="21">
        <f t="shared" si="67"/>
        <v>0</v>
      </c>
      <c r="DK90" s="21">
        <f t="shared" si="67"/>
        <v>0</v>
      </c>
      <c r="DL90" s="21">
        <f t="shared" si="67"/>
        <v>0</v>
      </c>
      <c r="DM90" s="21">
        <f t="shared" si="67"/>
        <v>0</v>
      </c>
      <c r="DN90" s="21">
        <f t="shared" si="67"/>
        <v>0</v>
      </c>
      <c r="DO90" s="21">
        <f t="shared" si="67"/>
        <v>0</v>
      </c>
      <c r="DP90" s="21">
        <f t="shared" si="67"/>
        <v>0</v>
      </c>
      <c r="DQ90" s="21">
        <f t="shared" si="67"/>
        <v>0</v>
      </c>
      <c r="DR90" s="21">
        <f t="shared" si="67"/>
        <v>0</v>
      </c>
      <c r="DS90" s="21">
        <f t="shared" si="67"/>
        <v>0</v>
      </c>
      <c r="DT90" s="21">
        <f t="shared" si="67"/>
        <v>0</v>
      </c>
      <c r="DU90" s="21">
        <f t="shared" si="67"/>
        <v>0</v>
      </c>
      <c r="DV90" s="21">
        <f t="shared" si="68"/>
        <v>0</v>
      </c>
      <c r="DW90" s="21">
        <f t="shared" si="68"/>
        <v>0</v>
      </c>
      <c r="DX90" s="21">
        <f t="shared" si="68"/>
        <v>0</v>
      </c>
      <c r="DY90" s="21">
        <f t="shared" si="68"/>
        <v>9296667</v>
      </c>
      <c r="DZ90" s="21">
        <f t="shared" si="68"/>
        <v>0</v>
      </c>
      <c r="EA90" s="21">
        <f t="shared" si="68"/>
        <v>0</v>
      </c>
      <c r="EB90" s="21">
        <f t="shared" si="68"/>
        <v>0</v>
      </c>
      <c r="ED90" s="135" t="s">
        <v>384</v>
      </c>
      <c r="EE90" s="39">
        <f t="shared" ref="EE90:EE130" si="71">+G90</f>
        <v>327243035</v>
      </c>
      <c r="EF90" s="39">
        <f t="shared" ref="EF90:EF130" si="72">+CF90</f>
        <v>295703333</v>
      </c>
    </row>
    <row r="91" spans="1:137" ht="55.5" hidden="1" customHeight="1" x14ac:dyDescent="0.25">
      <c r="A91" s="180"/>
      <c r="B91" s="171" t="s">
        <v>271</v>
      </c>
      <c r="C91" s="44" t="s">
        <v>272</v>
      </c>
      <c r="D91" s="29" t="s">
        <v>273</v>
      </c>
      <c r="E91" s="19">
        <v>301</v>
      </c>
      <c r="F91" s="20" t="s">
        <v>274</v>
      </c>
      <c r="G91" s="21">
        <f t="shared" si="63"/>
        <v>135362850</v>
      </c>
      <c r="H91" s="22">
        <v>70000000</v>
      </c>
      <c r="I91" s="22">
        <f t="shared" si="69"/>
        <v>-65362850</v>
      </c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>
        <v>40000000</v>
      </c>
      <c r="AA91" s="21">
        <f>40000000</f>
        <v>40000000</v>
      </c>
      <c r="AB91" s="21"/>
      <c r="AC91" s="21"/>
      <c r="AD91" s="21"/>
      <c r="AE91" s="21"/>
      <c r="AF91" s="21">
        <f>34083538+3500000-5000000+1500000+6279312+5000000+10000000</f>
        <v>55362850</v>
      </c>
      <c r="AG91" s="23">
        <f t="shared" si="54"/>
        <v>0.76845593898178122</v>
      </c>
      <c r="AH91" s="21">
        <f t="shared" si="40"/>
        <v>104020386</v>
      </c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>
        <f>+'[1]Acuerdo PLAN INVERSIÓN 2021'!$AA$6344</f>
        <v>34453333</v>
      </c>
      <c r="AZ91" s="21">
        <f>+'[3]Acuerdo PLAN INVERSIÓN 2021'!$X$4331</f>
        <v>18500000</v>
      </c>
      <c r="BA91" s="21"/>
      <c r="BB91" s="21"/>
      <c r="BC91" s="21"/>
      <c r="BD91" s="21"/>
      <c r="BE91" s="21">
        <f>+'[1]Acuerdo PLAN INVERSIÓN 2021'!$AF$6344</f>
        <v>51067053</v>
      </c>
      <c r="BF91" s="23">
        <f t="shared" si="57"/>
        <v>0.23154406101821878</v>
      </c>
      <c r="BG91" s="21">
        <f t="shared" si="64"/>
        <v>31342464</v>
      </c>
      <c r="BH91" s="21">
        <f t="shared" si="65"/>
        <v>0</v>
      </c>
      <c r="BI91" s="21">
        <f t="shared" si="65"/>
        <v>0</v>
      </c>
      <c r="BJ91" s="21">
        <f t="shared" si="65"/>
        <v>0</v>
      </c>
      <c r="BK91" s="21">
        <f t="shared" si="65"/>
        <v>0</v>
      </c>
      <c r="BL91" s="21">
        <f t="shared" si="65"/>
        <v>0</v>
      </c>
      <c r="BM91" s="21">
        <f t="shared" si="65"/>
        <v>0</v>
      </c>
      <c r="BN91" s="21">
        <f t="shared" si="65"/>
        <v>0</v>
      </c>
      <c r="BO91" s="21">
        <f t="shared" si="65"/>
        <v>0</v>
      </c>
      <c r="BP91" s="21">
        <f t="shared" si="65"/>
        <v>0</v>
      </c>
      <c r="BQ91" s="21">
        <f t="shared" si="65"/>
        <v>0</v>
      </c>
      <c r="BR91" s="21">
        <f t="shared" si="65"/>
        <v>0</v>
      </c>
      <c r="BS91" s="21">
        <f t="shared" si="65"/>
        <v>0</v>
      </c>
      <c r="BT91" s="21">
        <f t="shared" si="65"/>
        <v>0</v>
      </c>
      <c r="BU91" s="21">
        <f t="shared" si="65"/>
        <v>0</v>
      </c>
      <c r="BV91" s="21">
        <f t="shared" si="65"/>
        <v>0</v>
      </c>
      <c r="BW91" s="21">
        <f t="shared" si="65"/>
        <v>0</v>
      </c>
      <c r="BX91" s="21">
        <f t="shared" si="66"/>
        <v>5546667</v>
      </c>
      <c r="BY91" s="21">
        <f t="shared" si="66"/>
        <v>21500000</v>
      </c>
      <c r="BZ91" s="21">
        <f t="shared" si="66"/>
        <v>0</v>
      </c>
      <c r="CA91" s="21">
        <f t="shared" si="66"/>
        <v>0</v>
      </c>
      <c r="CB91" s="21">
        <f t="shared" si="66"/>
        <v>0</v>
      </c>
      <c r="CC91" s="21">
        <f t="shared" si="66"/>
        <v>0</v>
      </c>
      <c r="CD91" s="21">
        <f t="shared" si="66"/>
        <v>4295797</v>
      </c>
      <c r="CE91" s="23">
        <f t="shared" si="55"/>
        <v>0.76845593898178122</v>
      </c>
      <c r="CF91" s="21">
        <f t="shared" si="70"/>
        <v>104020386</v>
      </c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>
        <f>+'[1]Acuerdo PLAN INVERSIÓN 2021'!$AA$6344</f>
        <v>34453333</v>
      </c>
      <c r="CX91" s="21">
        <f>+'[3]Acuerdo PLAN INVERSIÓN 2021'!$X$4331</f>
        <v>18500000</v>
      </c>
      <c r="CY91" s="21"/>
      <c r="CZ91" s="21"/>
      <c r="DA91" s="21"/>
      <c r="DB91" s="21"/>
      <c r="DC91" s="21">
        <f>+'[1]Acuerdo PLAN INVERSIÓN 2021'!$AF$6344</f>
        <v>51067053</v>
      </c>
      <c r="DD91" s="23">
        <f t="shared" si="56"/>
        <v>0.23154406101821878</v>
      </c>
      <c r="DE91" s="21">
        <f t="shared" si="45"/>
        <v>31342464</v>
      </c>
      <c r="DF91" s="21">
        <f t="shared" si="67"/>
        <v>0</v>
      </c>
      <c r="DG91" s="21">
        <f t="shared" si="67"/>
        <v>0</v>
      </c>
      <c r="DH91" s="21">
        <f t="shared" si="67"/>
        <v>0</v>
      </c>
      <c r="DI91" s="21">
        <f t="shared" si="67"/>
        <v>0</v>
      </c>
      <c r="DJ91" s="21">
        <f t="shared" si="67"/>
        <v>0</v>
      </c>
      <c r="DK91" s="21">
        <f t="shared" si="67"/>
        <v>0</v>
      </c>
      <c r="DL91" s="21">
        <f t="shared" si="67"/>
        <v>0</v>
      </c>
      <c r="DM91" s="21">
        <f t="shared" si="67"/>
        <v>0</v>
      </c>
      <c r="DN91" s="21">
        <f t="shared" si="67"/>
        <v>0</v>
      </c>
      <c r="DO91" s="21">
        <f t="shared" si="67"/>
        <v>0</v>
      </c>
      <c r="DP91" s="21">
        <f t="shared" si="67"/>
        <v>0</v>
      </c>
      <c r="DQ91" s="21">
        <f t="shared" si="67"/>
        <v>0</v>
      </c>
      <c r="DR91" s="21">
        <f t="shared" si="67"/>
        <v>0</v>
      </c>
      <c r="DS91" s="21">
        <f t="shared" si="67"/>
        <v>0</v>
      </c>
      <c r="DT91" s="21">
        <f t="shared" si="67"/>
        <v>0</v>
      </c>
      <c r="DU91" s="21">
        <f t="shared" si="67"/>
        <v>0</v>
      </c>
      <c r="DV91" s="21">
        <f t="shared" si="68"/>
        <v>5546667</v>
      </c>
      <c r="DW91" s="21">
        <f t="shared" si="68"/>
        <v>21500000</v>
      </c>
      <c r="DX91" s="21">
        <f t="shared" si="68"/>
        <v>0</v>
      </c>
      <c r="DY91" s="21">
        <f t="shared" si="68"/>
        <v>0</v>
      </c>
      <c r="DZ91" s="21">
        <f t="shared" si="68"/>
        <v>0</v>
      </c>
      <c r="EA91" s="21">
        <f t="shared" si="68"/>
        <v>0</v>
      </c>
      <c r="EB91" s="21">
        <f t="shared" si="68"/>
        <v>4295797</v>
      </c>
      <c r="ED91" s="38"/>
      <c r="EE91" s="39">
        <f t="shared" si="71"/>
        <v>135362850</v>
      </c>
      <c r="EF91" s="39">
        <f t="shared" si="72"/>
        <v>104020386</v>
      </c>
    </row>
    <row r="92" spans="1:137" ht="21" hidden="1" customHeight="1" x14ac:dyDescent="0.25">
      <c r="A92" s="180"/>
      <c r="B92" s="172"/>
      <c r="C92" s="44" t="s">
        <v>275</v>
      </c>
      <c r="D92" s="29" t="s">
        <v>276</v>
      </c>
      <c r="E92" s="30">
        <v>301</v>
      </c>
      <c r="F92" s="31" t="s">
        <v>243</v>
      </c>
      <c r="G92" s="21">
        <f t="shared" si="63"/>
        <v>152100000</v>
      </c>
      <c r="H92" s="22">
        <v>96000000</v>
      </c>
      <c r="I92" s="22">
        <f t="shared" si="69"/>
        <v>-56100000</v>
      </c>
      <c r="J92" s="21">
        <f>32100000</f>
        <v>32100000</v>
      </c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>
        <v>60000000</v>
      </c>
      <c r="AA92" s="21">
        <f>60000000</f>
        <v>60000000</v>
      </c>
      <c r="AB92" s="21"/>
      <c r="AC92" s="21"/>
      <c r="AD92" s="21"/>
      <c r="AE92" s="21"/>
      <c r="AF92" s="21"/>
      <c r="AG92" s="23">
        <f t="shared" si="54"/>
        <v>0.65882282708744244</v>
      </c>
      <c r="AH92" s="21">
        <f t="shared" si="40"/>
        <v>100206952</v>
      </c>
      <c r="AI92" s="21">
        <f>+'[1]Acuerdo PLAN INVERSIÓN 2021'!$L$6407</f>
        <v>31816666</v>
      </c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>
        <f>+'[1]Acuerdo PLAN INVERSIÓN 2021'!$AA$6407</f>
        <v>39246663</v>
      </c>
      <c r="AZ92" s="21">
        <f>+'[1]Acuerdo PLAN INVERSIÓN 2021'!$X$6407</f>
        <v>29143623</v>
      </c>
      <c r="BA92" s="21"/>
      <c r="BB92" s="21"/>
      <c r="BC92" s="21"/>
      <c r="BD92" s="21"/>
      <c r="BE92" s="21"/>
      <c r="BF92" s="23">
        <f t="shared" si="57"/>
        <v>0.34117717291255756</v>
      </c>
      <c r="BG92" s="21">
        <f t="shared" si="64"/>
        <v>51893048</v>
      </c>
      <c r="BH92" s="21">
        <f t="shared" si="65"/>
        <v>283334</v>
      </c>
      <c r="BI92" s="21">
        <f t="shared" si="65"/>
        <v>0</v>
      </c>
      <c r="BJ92" s="21">
        <f t="shared" si="65"/>
        <v>0</v>
      </c>
      <c r="BK92" s="21">
        <f t="shared" si="65"/>
        <v>0</v>
      </c>
      <c r="BL92" s="21">
        <f t="shared" si="65"/>
        <v>0</v>
      </c>
      <c r="BM92" s="21">
        <f t="shared" si="65"/>
        <v>0</v>
      </c>
      <c r="BN92" s="21">
        <f t="shared" si="65"/>
        <v>0</v>
      </c>
      <c r="BO92" s="21">
        <f t="shared" si="65"/>
        <v>0</v>
      </c>
      <c r="BP92" s="21">
        <f t="shared" si="65"/>
        <v>0</v>
      </c>
      <c r="BQ92" s="21">
        <f t="shared" si="65"/>
        <v>0</v>
      </c>
      <c r="BR92" s="21">
        <f t="shared" si="65"/>
        <v>0</v>
      </c>
      <c r="BS92" s="21">
        <f t="shared" si="65"/>
        <v>0</v>
      </c>
      <c r="BT92" s="21">
        <f t="shared" si="65"/>
        <v>0</v>
      </c>
      <c r="BU92" s="21">
        <f t="shared" si="65"/>
        <v>0</v>
      </c>
      <c r="BV92" s="21">
        <f t="shared" si="65"/>
        <v>0</v>
      </c>
      <c r="BW92" s="21">
        <f t="shared" si="65"/>
        <v>0</v>
      </c>
      <c r="BX92" s="21">
        <f t="shared" si="66"/>
        <v>20753337</v>
      </c>
      <c r="BY92" s="21">
        <f t="shared" si="66"/>
        <v>30856377</v>
      </c>
      <c r="BZ92" s="21">
        <f t="shared" si="66"/>
        <v>0</v>
      </c>
      <c r="CA92" s="21">
        <f t="shared" si="66"/>
        <v>0</v>
      </c>
      <c r="CB92" s="21">
        <f t="shared" si="66"/>
        <v>0</v>
      </c>
      <c r="CC92" s="21">
        <f t="shared" si="66"/>
        <v>0</v>
      </c>
      <c r="CD92" s="21">
        <f t="shared" si="66"/>
        <v>0</v>
      </c>
      <c r="CE92" s="23">
        <f t="shared" si="55"/>
        <v>0.65882282708744244</v>
      </c>
      <c r="CF92" s="21">
        <f t="shared" si="70"/>
        <v>100206952</v>
      </c>
      <c r="CG92" s="21">
        <f>+'[8]Acuerdo PLAN INVERSIÓN 2021'!$H$5279+'[8]Acuerdo PLAN INVERSIÓN 2021'!$H$5282</f>
        <v>31816666</v>
      </c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>
        <f>+'[8]Acuerdo PLAN INVERSIÓN 2021'!$H$5245+'[8]Acuerdo PLAN INVERSIÓN 2021'!$H$5248+'[8]Acuerdo PLAN INVERSIÓN 2021'!$H$5254+'[8]Acuerdo PLAN INVERSIÓN 2021'!$H$5264</f>
        <v>39246663</v>
      </c>
      <c r="CX92" s="21">
        <f>+'[8]Acuerdo PLAN INVERSIÓN 2021'!$H$5268+'[8]Acuerdo PLAN INVERSIÓN 2021'!$H$5271</f>
        <v>29143623</v>
      </c>
      <c r="CY92" s="21"/>
      <c r="CZ92" s="21"/>
      <c r="DA92" s="21"/>
      <c r="DB92" s="21"/>
      <c r="DC92" s="21"/>
      <c r="DD92" s="23">
        <f t="shared" si="56"/>
        <v>0.34117717291255756</v>
      </c>
      <c r="DE92" s="21">
        <f t="shared" si="45"/>
        <v>51893048</v>
      </c>
      <c r="DF92" s="21">
        <f t="shared" si="67"/>
        <v>283334</v>
      </c>
      <c r="DG92" s="21">
        <f t="shared" si="67"/>
        <v>0</v>
      </c>
      <c r="DH92" s="21">
        <f t="shared" si="67"/>
        <v>0</v>
      </c>
      <c r="DI92" s="21">
        <f t="shared" si="67"/>
        <v>0</v>
      </c>
      <c r="DJ92" s="21">
        <f t="shared" si="67"/>
        <v>0</v>
      </c>
      <c r="DK92" s="21">
        <f t="shared" si="67"/>
        <v>0</v>
      </c>
      <c r="DL92" s="21">
        <f t="shared" si="67"/>
        <v>0</v>
      </c>
      <c r="DM92" s="21">
        <f t="shared" si="67"/>
        <v>0</v>
      </c>
      <c r="DN92" s="21">
        <f t="shared" si="67"/>
        <v>0</v>
      </c>
      <c r="DO92" s="21">
        <f t="shared" si="67"/>
        <v>0</v>
      </c>
      <c r="DP92" s="21">
        <f t="shared" si="67"/>
        <v>0</v>
      </c>
      <c r="DQ92" s="21">
        <f t="shared" si="67"/>
        <v>0</v>
      </c>
      <c r="DR92" s="21">
        <f t="shared" si="67"/>
        <v>0</v>
      </c>
      <c r="DS92" s="21">
        <f t="shared" si="67"/>
        <v>0</v>
      </c>
      <c r="DT92" s="21">
        <f t="shared" si="67"/>
        <v>0</v>
      </c>
      <c r="DU92" s="21">
        <f t="shared" si="67"/>
        <v>0</v>
      </c>
      <c r="DV92" s="21">
        <f t="shared" si="68"/>
        <v>20753337</v>
      </c>
      <c r="DW92" s="21">
        <f t="shared" si="68"/>
        <v>30856377</v>
      </c>
      <c r="DX92" s="21">
        <f t="shared" si="68"/>
        <v>0</v>
      </c>
      <c r="DY92" s="21">
        <f t="shared" si="68"/>
        <v>0</v>
      </c>
      <c r="DZ92" s="21">
        <f t="shared" si="68"/>
        <v>0</v>
      </c>
      <c r="EA92" s="21">
        <f t="shared" si="68"/>
        <v>0</v>
      </c>
      <c r="EB92" s="21">
        <f t="shared" si="68"/>
        <v>0</v>
      </c>
      <c r="ED92" s="38"/>
      <c r="EE92" s="39">
        <f t="shared" si="71"/>
        <v>152100000</v>
      </c>
      <c r="EF92" s="39">
        <f t="shared" si="72"/>
        <v>100206952</v>
      </c>
    </row>
    <row r="93" spans="1:137" ht="19.2" hidden="1" customHeight="1" x14ac:dyDescent="0.25">
      <c r="A93" s="180"/>
      <c r="B93" s="173"/>
      <c r="C93" s="44" t="s">
        <v>277</v>
      </c>
      <c r="D93" s="29" t="s">
        <v>278</v>
      </c>
      <c r="E93" s="19">
        <v>301</v>
      </c>
      <c r="F93" s="20" t="s">
        <v>243</v>
      </c>
      <c r="G93" s="21">
        <f t="shared" si="63"/>
        <v>40000000</v>
      </c>
      <c r="H93" s="22">
        <v>20000000</v>
      </c>
      <c r="I93" s="22">
        <f t="shared" si="69"/>
        <v>-20000000</v>
      </c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>
        <v>10000000</v>
      </c>
      <c r="AA93" s="21">
        <f>30000000</f>
        <v>30000000</v>
      </c>
      <c r="AB93" s="21"/>
      <c r="AC93" s="21"/>
      <c r="AD93" s="21"/>
      <c r="AE93" s="21"/>
      <c r="AF93" s="21"/>
      <c r="AG93" s="23">
        <f t="shared" si="54"/>
        <v>1.0125E-2</v>
      </c>
      <c r="AH93" s="21">
        <f t="shared" si="40"/>
        <v>405000</v>
      </c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>
        <f>+'[8]Acuerdo PLAN INVERSIÓN 2021'!$AA$5290</f>
        <v>405000</v>
      </c>
      <c r="AZ93" s="21"/>
      <c r="BA93" s="21"/>
      <c r="BB93" s="21"/>
      <c r="BC93" s="21"/>
      <c r="BD93" s="21"/>
      <c r="BE93" s="21"/>
      <c r="BF93" s="23">
        <f t="shared" si="57"/>
        <v>0.98987499999999995</v>
      </c>
      <c r="BG93" s="21">
        <f t="shared" si="64"/>
        <v>39595000</v>
      </c>
      <c r="BH93" s="21">
        <f t="shared" si="65"/>
        <v>0</v>
      </c>
      <c r="BI93" s="21">
        <f t="shared" si="65"/>
        <v>0</v>
      </c>
      <c r="BJ93" s="21">
        <f t="shared" si="65"/>
        <v>0</v>
      </c>
      <c r="BK93" s="21">
        <f t="shared" si="65"/>
        <v>0</v>
      </c>
      <c r="BL93" s="21">
        <f t="shared" si="65"/>
        <v>0</v>
      </c>
      <c r="BM93" s="21">
        <f t="shared" si="65"/>
        <v>0</v>
      </c>
      <c r="BN93" s="21">
        <f t="shared" si="65"/>
        <v>0</v>
      </c>
      <c r="BO93" s="21">
        <f t="shared" si="65"/>
        <v>0</v>
      </c>
      <c r="BP93" s="21">
        <f t="shared" si="65"/>
        <v>0</v>
      </c>
      <c r="BQ93" s="21">
        <f t="shared" si="65"/>
        <v>0</v>
      </c>
      <c r="BR93" s="21">
        <f t="shared" si="65"/>
        <v>0</v>
      </c>
      <c r="BS93" s="21">
        <f t="shared" si="65"/>
        <v>0</v>
      </c>
      <c r="BT93" s="21">
        <f t="shared" si="65"/>
        <v>0</v>
      </c>
      <c r="BU93" s="21">
        <f t="shared" si="65"/>
        <v>0</v>
      </c>
      <c r="BV93" s="21">
        <f t="shared" si="65"/>
        <v>0</v>
      </c>
      <c r="BW93" s="21">
        <f t="shared" si="65"/>
        <v>0</v>
      </c>
      <c r="BX93" s="21">
        <f t="shared" si="66"/>
        <v>9595000</v>
      </c>
      <c r="BY93" s="21">
        <f t="shared" si="66"/>
        <v>30000000</v>
      </c>
      <c r="BZ93" s="21">
        <f t="shared" si="66"/>
        <v>0</v>
      </c>
      <c r="CA93" s="21">
        <f t="shared" si="66"/>
        <v>0</v>
      </c>
      <c r="CB93" s="21">
        <f t="shared" si="66"/>
        <v>0</v>
      </c>
      <c r="CC93" s="21">
        <f t="shared" si="66"/>
        <v>0</v>
      </c>
      <c r="CD93" s="21">
        <f t="shared" si="66"/>
        <v>0</v>
      </c>
      <c r="CE93" s="23">
        <f t="shared" si="55"/>
        <v>1.0125E-2</v>
      </c>
      <c r="CF93" s="21">
        <f t="shared" si="70"/>
        <v>405000</v>
      </c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>
        <f>+'[8]Acuerdo PLAN INVERSIÓN 2021'!$AA$5290</f>
        <v>405000</v>
      </c>
      <c r="CX93" s="21"/>
      <c r="CY93" s="21"/>
      <c r="CZ93" s="21"/>
      <c r="DA93" s="21"/>
      <c r="DB93" s="21"/>
      <c r="DC93" s="21"/>
      <c r="DD93" s="23">
        <f t="shared" si="56"/>
        <v>0.98987499999999995</v>
      </c>
      <c r="DE93" s="21">
        <f t="shared" si="45"/>
        <v>39595000</v>
      </c>
      <c r="DF93" s="21">
        <f t="shared" si="67"/>
        <v>0</v>
      </c>
      <c r="DG93" s="21">
        <f t="shared" si="67"/>
        <v>0</v>
      </c>
      <c r="DH93" s="21">
        <f t="shared" si="67"/>
        <v>0</v>
      </c>
      <c r="DI93" s="21">
        <f t="shared" si="67"/>
        <v>0</v>
      </c>
      <c r="DJ93" s="21">
        <f t="shared" si="67"/>
        <v>0</v>
      </c>
      <c r="DK93" s="21">
        <f t="shared" si="67"/>
        <v>0</v>
      </c>
      <c r="DL93" s="21">
        <f t="shared" si="67"/>
        <v>0</v>
      </c>
      <c r="DM93" s="21">
        <f t="shared" si="67"/>
        <v>0</v>
      </c>
      <c r="DN93" s="21">
        <f t="shared" si="67"/>
        <v>0</v>
      </c>
      <c r="DO93" s="21">
        <f t="shared" si="67"/>
        <v>0</v>
      </c>
      <c r="DP93" s="21">
        <f t="shared" si="67"/>
        <v>0</v>
      </c>
      <c r="DQ93" s="21">
        <f t="shared" si="67"/>
        <v>0</v>
      </c>
      <c r="DR93" s="21">
        <f t="shared" si="67"/>
        <v>0</v>
      </c>
      <c r="DS93" s="21">
        <f t="shared" si="67"/>
        <v>0</v>
      </c>
      <c r="DT93" s="21">
        <f t="shared" si="67"/>
        <v>0</v>
      </c>
      <c r="DU93" s="21">
        <f t="shared" si="67"/>
        <v>0</v>
      </c>
      <c r="DV93" s="21">
        <f t="shared" si="68"/>
        <v>9595000</v>
      </c>
      <c r="DW93" s="21">
        <f t="shared" si="68"/>
        <v>30000000</v>
      </c>
      <c r="DX93" s="21">
        <f t="shared" si="68"/>
        <v>0</v>
      </c>
      <c r="DY93" s="21">
        <f t="shared" si="68"/>
        <v>0</v>
      </c>
      <c r="DZ93" s="21">
        <f t="shared" si="68"/>
        <v>0</v>
      </c>
      <c r="EA93" s="21">
        <f t="shared" si="68"/>
        <v>0</v>
      </c>
      <c r="EB93" s="21">
        <f t="shared" si="68"/>
        <v>0</v>
      </c>
      <c r="ED93" s="38"/>
      <c r="EE93" s="39">
        <f t="shared" si="71"/>
        <v>40000000</v>
      </c>
      <c r="EF93" s="39">
        <f t="shared" si="72"/>
        <v>405000</v>
      </c>
    </row>
    <row r="94" spans="1:137" ht="22.2" hidden="1" customHeight="1" x14ac:dyDescent="0.25">
      <c r="A94" s="180"/>
      <c r="B94" s="169" t="s">
        <v>279</v>
      </c>
      <c r="C94" s="44" t="s">
        <v>280</v>
      </c>
      <c r="D94" s="18" t="s">
        <v>281</v>
      </c>
      <c r="E94" s="30">
        <v>301</v>
      </c>
      <c r="F94" s="31" t="s">
        <v>243</v>
      </c>
      <c r="G94" s="21">
        <f t="shared" si="63"/>
        <v>96900000</v>
      </c>
      <c r="H94" s="22">
        <v>65000000</v>
      </c>
      <c r="I94" s="22">
        <f t="shared" si="69"/>
        <v>-31900000</v>
      </c>
      <c r="J94" s="21">
        <f>31500000+15400000</f>
        <v>46900000</v>
      </c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>
        <v>40000000</v>
      </c>
      <c r="AA94" s="21">
        <f>10000000</f>
        <v>10000000</v>
      </c>
      <c r="AB94" s="21"/>
      <c r="AC94" s="21"/>
      <c r="AD94" s="21"/>
      <c r="AE94" s="21"/>
      <c r="AF94" s="21"/>
      <c r="AG94" s="23">
        <f t="shared" si="54"/>
        <v>0.80546954592363262</v>
      </c>
      <c r="AH94" s="21">
        <f t="shared" si="40"/>
        <v>78049999</v>
      </c>
      <c r="AI94" s="21">
        <f>+'[1]Acuerdo PLAN INVERSIÓN 2021'!$L$6460</f>
        <v>32549999</v>
      </c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>
        <f>+'[1]Acuerdo PLAN INVERSIÓN 2021'!$AA$6460</f>
        <v>35500000</v>
      </c>
      <c r="AZ94" s="21">
        <f>+'[4]Acuerdo PLAN INVERSIÓN 2021'!$X$2629</f>
        <v>10000000</v>
      </c>
      <c r="BA94" s="21"/>
      <c r="BB94" s="21"/>
      <c r="BC94" s="21"/>
      <c r="BD94" s="21"/>
      <c r="BE94" s="21"/>
      <c r="BF94" s="23">
        <f t="shared" si="57"/>
        <v>0.19453045407636738</v>
      </c>
      <c r="BG94" s="21">
        <f t="shared" si="64"/>
        <v>18850001</v>
      </c>
      <c r="BH94" s="21">
        <f t="shared" si="65"/>
        <v>14350001</v>
      </c>
      <c r="BI94" s="21">
        <f t="shared" si="65"/>
        <v>0</v>
      </c>
      <c r="BJ94" s="21">
        <f t="shared" si="65"/>
        <v>0</v>
      </c>
      <c r="BK94" s="21">
        <f t="shared" si="65"/>
        <v>0</v>
      </c>
      <c r="BL94" s="21">
        <f t="shared" si="65"/>
        <v>0</v>
      </c>
      <c r="BM94" s="21">
        <f t="shared" si="65"/>
        <v>0</v>
      </c>
      <c r="BN94" s="21">
        <f t="shared" si="65"/>
        <v>0</v>
      </c>
      <c r="BO94" s="21">
        <f t="shared" si="65"/>
        <v>0</v>
      </c>
      <c r="BP94" s="21">
        <f t="shared" si="65"/>
        <v>0</v>
      </c>
      <c r="BQ94" s="21">
        <f t="shared" si="65"/>
        <v>0</v>
      </c>
      <c r="BR94" s="21">
        <f t="shared" si="65"/>
        <v>0</v>
      </c>
      <c r="BS94" s="21">
        <f t="shared" si="65"/>
        <v>0</v>
      </c>
      <c r="BT94" s="21">
        <f t="shared" si="65"/>
        <v>0</v>
      </c>
      <c r="BU94" s="21">
        <f t="shared" si="65"/>
        <v>0</v>
      </c>
      <c r="BV94" s="21">
        <f t="shared" si="65"/>
        <v>0</v>
      </c>
      <c r="BW94" s="21">
        <f>+Y94-AX94</f>
        <v>0</v>
      </c>
      <c r="BX94" s="21">
        <f t="shared" si="66"/>
        <v>4500000</v>
      </c>
      <c r="BY94" s="21">
        <f t="shared" si="66"/>
        <v>0</v>
      </c>
      <c r="BZ94" s="21">
        <f t="shared" si="66"/>
        <v>0</v>
      </c>
      <c r="CA94" s="21">
        <f t="shared" si="66"/>
        <v>0</v>
      </c>
      <c r="CB94" s="21">
        <f t="shared" si="66"/>
        <v>0</v>
      </c>
      <c r="CC94" s="21">
        <f t="shared" si="66"/>
        <v>0</v>
      </c>
      <c r="CD94" s="21">
        <f t="shared" si="66"/>
        <v>0</v>
      </c>
      <c r="CE94" s="23">
        <f t="shared" si="55"/>
        <v>0.80546954592363262</v>
      </c>
      <c r="CF94" s="21">
        <f t="shared" si="70"/>
        <v>78049999</v>
      </c>
      <c r="CG94" s="21">
        <f>+'[1]Acuerdo PLAN INVERSIÓN 2021'!$L$6460</f>
        <v>32549999</v>
      </c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>
        <f>+'[1]Acuerdo PLAN INVERSIÓN 2021'!$AA$6460</f>
        <v>35500000</v>
      </c>
      <c r="CX94" s="21">
        <f>+'[4]Acuerdo PLAN INVERSIÓN 2021'!$X$2629</f>
        <v>10000000</v>
      </c>
      <c r="CY94" s="21"/>
      <c r="CZ94" s="21"/>
      <c r="DA94" s="21"/>
      <c r="DB94" s="21"/>
      <c r="DC94" s="21"/>
      <c r="DD94" s="23">
        <f t="shared" si="56"/>
        <v>0.19453045407636738</v>
      </c>
      <c r="DE94" s="21">
        <f t="shared" si="45"/>
        <v>18850001</v>
      </c>
      <c r="DF94" s="21">
        <f t="shared" si="67"/>
        <v>14350001</v>
      </c>
      <c r="DG94" s="21">
        <f t="shared" si="67"/>
        <v>0</v>
      </c>
      <c r="DH94" s="21">
        <f t="shared" si="67"/>
        <v>0</v>
      </c>
      <c r="DI94" s="21">
        <f t="shared" si="67"/>
        <v>0</v>
      </c>
      <c r="DJ94" s="21">
        <f t="shared" si="67"/>
        <v>0</v>
      </c>
      <c r="DK94" s="21">
        <f t="shared" si="67"/>
        <v>0</v>
      </c>
      <c r="DL94" s="21">
        <f t="shared" si="67"/>
        <v>0</v>
      </c>
      <c r="DM94" s="21">
        <f t="shared" si="67"/>
        <v>0</v>
      </c>
      <c r="DN94" s="21">
        <f t="shared" si="67"/>
        <v>0</v>
      </c>
      <c r="DO94" s="21">
        <f t="shared" si="67"/>
        <v>0</v>
      </c>
      <c r="DP94" s="21">
        <f t="shared" si="67"/>
        <v>0</v>
      </c>
      <c r="DQ94" s="21">
        <f t="shared" si="67"/>
        <v>0</v>
      </c>
      <c r="DR94" s="21">
        <f t="shared" si="67"/>
        <v>0</v>
      </c>
      <c r="DS94" s="21">
        <f t="shared" si="67"/>
        <v>0</v>
      </c>
      <c r="DT94" s="21">
        <f t="shared" si="67"/>
        <v>0</v>
      </c>
      <c r="DU94" s="21">
        <f>+Y94-CV94</f>
        <v>0</v>
      </c>
      <c r="DV94" s="21">
        <f t="shared" si="68"/>
        <v>4500000</v>
      </c>
      <c r="DW94" s="21">
        <f t="shared" si="68"/>
        <v>0</v>
      </c>
      <c r="DX94" s="21">
        <f t="shared" si="68"/>
        <v>0</v>
      </c>
      <c r="DY94" s="21">
        <f t="shared" si="68"/>
        <v>0</v>
      </c>
      <c r="DZ94" s="21">
        <f t="shared" si="68"/>
        <v>0</v>
      </c>
      <c r="EA94" s="21">
        <f t="shared" si="68"/>
        <v>0</v>
      </c>
      <c r="EB94" s="21">
        <f t="shared" si="68"/>
        <v>0</v>
      </c>
      <c r="ED94" s="38"/>
      <c r="EE94" s="39">
        <f t="shared" si="71"/>
        <v>96900000</v>
      </c>
      <c r="EF94" s="39">
        <f t="shared" si="72"/>
        <v>78049999</v>
      </c>
    </row>
    <row r="95" spans="1:137" ht="22.5" hidden="1" customHeight="1" x14ac:dyDescent="0.25">
      <c r="A95" s="180"/>
      <c r="B95" s="183"/>
      <c r="C95" s="44" t="s">
        <v>282</v>
      </c>
      <c r="D95" s="59" t="s">
        <v>283</v>
      </c>
      <c r="E95" s="19">
        <v>301</v>
      </c>
      <c r="F95" s="20" t="s">
        <v>243</v>
      </c>
      <c r="G95" s="21">
        <f t="shared" si="63"/>
        <v>1171418102</v>
      </c>
      <c r="H95" s="22">
        <v>1662500000</v>
      </c>
      <c r="I95" s="22">
        <f t="shared" si="69"/>
        <v>491081898</v>
      </c>
      <c r="J95" s="60">
        <f>804086833-204300000</f>
        <v>599786833</v>
      </c>
      <c r="K95" s="60"/>
      <c r="L95" s="60"/>
      <c r="M95" s="21"/>
      <c r="N95" s="60"/>
      <c r="O95" s="60"/>
      <c r="P95" s="60"/>
      <c r="Q95" s="60"/>
      <c r="R95" s="60"/>
      <c r="S95" s="60"/>
      <c r="T95" s="60"/>
      <c r="U95" s="60"/>
      <c r="V95" s="60"/>
      <c r="W95" s="60"/>
      <c r="X95" s="60"/>
      <c r="Y95" s="60"/>
      <c r="Z95" s="60"/>
      <c r="AA95" s="60"/>
      <c r="AB95" s="60"/>
      <c r="AC95" s="47">
        <f>695913167-124281898</f>
        <v>571631269</v>
      </c>
      <c r="AD95" s="60"/>
      <c r="AE95" s="60"/>
      <c r="AF95" s="60"/>
      <c r="AG95" s="23">
        <f t="shared" si="54"/>
        <v>0</v>
      </c>
      <c r="AH95" s="21">
        <f t="shared" si="40"/>
        <v>0</v>
      </c>
      <c r="AI95" s="60"/>
      <c r="AJ95" s="60"/>
      <c r="AK95" s="60"/>
      <c r="AL95" s="60"/>
      <c r="AM95" s="60"/>
      <c r="AN95" s="60"/>
      <c r="AO95" s="60"/>
      <c r="AP95" s="60"/>
      <c r="AQ95" s="60"/>
      <c r="AR95" s="60"/>
      <c r="AS95" s="60"/>
      <c r="AT95" s="60"/>
      <c r="AU95" s="60"/>
      <c r="AV95" s="60"/>
      <c r="AW95" s="60"/>
      <c r="AX95" s="60"/>
      <c r="AY95" s="60"/>
      <c r="AZ95" s="60"/>
      <c r="BA95" s="60"/>
      <c r="BB95" s="60"/>
      <c r="BC95" s="60"/>
      <c r="BD95" s="60"/>
      <c r="BE95" s="60"/>
      <c r="BF95" s="23">
        <f t="shared" si="57"/>
        <v>1</v>
      </c>
      <c r="BG95" s="21">
        <f t="shared" si="64"/>
        <v>1171418102</v>
      </c>
      <c r="BH95" s="21">
        <f t="shared" ref="BH95:BV97" si="73">+J95-AI95</f>
        <v>599786833</v>
      </c>
      <c r="BI95" s="21">
        <f t="shared" si="73"/>
        <v>0</v>
      </c>
      <c r="BJ95" s="21">
        <f t="shared" si="73"/>
        <v>0</v>
      </c>
      <c r="BK95" s="21">
        <f t="shared" si="73"/>
        <v>0</v>
      </c>
      <c r="BL95" s="21">
        <f t="shared" si="73"/>
        <v>0</v>
      </c>
      <c r="BM95" s="21">
        <f t="shared" si="73"/>
        <v>0</v>
      </c>
      <c r="BN95" s="21">
        <f t="shared" si="73"/>
        <v>0</v>
      </c>
      <c r="BO95" s="21">
        <f t="shared" si="73"/>
        <v>0</v>
      </c>
      <c r="BP95" s="21">
        <f t="shared" si="73"/>
        <v>0</v>
      </c>
      <c r="BQ95" s="21">
        <f t="shared" si="73"/>
        <v>0</v>
      </c>
      <c r="BR95" s="21">
        <f t="shared" si="73"/>
        <v>0</v>
      </c>
      <c r="BS95" s="21">
        <f t="shared" si="73"/>
        <v>0</v>
      </c>
      <c r="BT95" s="21">
        <f t="shared" si="73"/>
        <v>0</v>
      </c>
      <c r="BU95" s="21">
        <f t="shared" si="73"/>
        <v>0</v>
      </c>
      <c r="BV95" s="21">
        <f t="shared" si="73"/>
        <v>0</v>
      </c>
      <c r="BW95" s="21">
        <f>+Y95-AX95</f>
        <v>0</v>
      </c>
      <c r="BX95" s="21">
        <f t="shared" si="66"/>
        <v>0</v>
      </c>
      <c r="BY95" s="21">
        <f t="shared" si="66"/>
        <v>0</v>
      </c>
      <c r="BZ95" s="21">
        <f t="shared" si="66"/>
        <v>0</v>
      </c>
      <c r="CA95" s="21">
        <f t="shared" si="66"/>
        <v>571631269</v>
      </c>
      <c r="CB95" s="21">
        <f t="shared" si="66"/>
        <v>0</v>
      </c>
      <c r="CC95" s="21">
        <f t="shared" si="66"/>
        <v>0</v>
      </c>
      <c r="CD95" s="21">
        <f t="shared" si="66"/>
        <v>0</v>
      </c>
      <c r="CE95" s="23">
        <f t="shared" si="55"/>
        <v>0</v>
      </c>
      <c r="CF95" s="21">
        <f t="shared" si="70"/>
        <v>0</v>
      </c>
      <c r="CG95" s="60"/>
      <c r="CH95" s="60"/>
      <c r="CI95" s="60"/>
      <c r="CJ95" s="60"/>
      <c r="CK95" s="60"/>
      <c r="CL95" s="60"/>
      <c r="CM95" s="60"/>
      <c r="CN95" s="60"/>
      <c r="CO95" s="60"/>
      <c r="CP95" s="60"/>
      <c r="CQ95" s="60"/>
      <c r="CR95" s="60"/>
      <c r="CS95" s="60"/>
      <c r="CT95" s="60"/>
      <c r="CU95" s="60"/>
      <c r="CV95" s="60"/>
      <c r="CW95" s="60"/>
      <c r="CX95" s="60"/>
      <c r="CY95" s="60"/>
      <c r="CZ95" s="60"/>
      <c r="DA95" s="60"/>
      <c r="DB95" s="60"/>
      <c r="DC95" s="60"/>
      <c r="DD95" s="23">
        <f t="shared" si="56"/>
        <v>1</v>
      </c>
      <c r="DE95" s="21">
        <f t="shared" si="45"/>
        <v>1171418102</v>
      </c>
      <c r="DF95" s="21">
        <f t="shared" ref="DF95:DT97" si="74">+J95-CG95</f>
        <v>599786833</v>
      </c>
      <c r="DG95" s="21">
        <f t="shared" si="74"/>
        <v>0</v>
      </c>
      <c r="DH95" s="21">
        <f t="shared" si="74"/>
        <v>0</v>
      </c>
      <c r="DI95" s="21">
        <f t="shared" si="74"/>
        <v>0</v>
      </c>
      <c r="DJ95" s="21">
        <f t="shared" si="74"/>
        <v>0</v>
      </c>
      <c r="DK95" s="21">
        <f t="shared" si="74"/>
        <v>0</v>
      </c>
      <c r="DL95" s="21">
        <f t="shared" si="74"/>
        <v>0</v>
      </c>
      <c r="DM95" s="21">
        <f t="shared" si="74"/>
        <v>0</v>
      </c>
      <c r="DN95" s="21">
        <f t="shared" si="74"/>
        <v>0</v>
      </c>
      <c r="DO95" s="21">
        <f t="shared" si="74"/>
        <v>0</v>
      </c>
      <c r="DP95" s="21">
        <f t="shared" si="74"/>
        <v>0</v>
      </c>
      <c r="DQ95" s="21">
        <f t="shared" si="74"/>
        <v>0</v>
      </c>
      <c r="DR95" s="21">
        <f t="shared" si="74"/>
        <v>0</v>
      </c>
      <c r="DS95" s="21">
        <f t="shared" si="74"/>
        <v>0</v>
      </c>
      <c r="DT95" s="21">
        <f t="shared" si="74"/>
        <v>0</v>
      </c>
      <c r="DU95" s="21">
        <f>+Y95-CV95</f>
        <v>0</v>
      </c>
      <c r="DV95" s="21">
        <f t="shared" si="68"/>
        <v>0</v>
      </c>
      <c r="DW95" s="21">
        <f t="shared" si="68"/>
        <v>0</v>
      </c>
      <c r="DX95" s="21">
        <f t="shared" si="68"/>
        <v>0</v>
      </c>
      <c r="DY95" s="21">
        <f t="shared" si="68"/>
        <v>571631269</v>
      </c>
      <c r="DZ95" s="21">
        <f t="shared" si="68"/>
        <v>0</v>
      </c>
      <c r="EA95" s="21">
        <f t="shared" si="68"/>
        <v>0</v>
      </c>
      <c r="EB95" s="21">
        <f t="shared" si="68"/>
        <v>0</v>
      </c>
      <c r="EE95" s="39">
        <f t="shared" si="71"/>
        <v>1171418102</v>
      </c>
      <c r="EF95" s="39">
        <f t="shared" si="72"/>
        <v>0</v>
      </c>
    </row>
    <row r="96" spans="1:137" ht="22.5" hidden="1" customHeight="1" x14ac:dyDescent="0.25">
      <c r="A96" s="180"/>
      <c r="B96" s="183"/>
      <c r="C96" s="44" t="s">
        <v>284</v>
      </c>
      <c r="D96" s="59" t="s">
        <v>285</v>
      </c>
      <c r="E96" s="19">
        <v>301</v>
      </c>
      <c r="F96" s="20" t="s">
        <v>243</v>
      </c>
      <c r="G96" s="21">
        <f t="shared" si="63"/>
        <v>1057720570</v>
      </c>
      <c r="H96" s="22">
        <v>780000000</v>
      </c>
      <c r="I96" s="22">
        <f t="shared" si="69"/>
        <v>-277720570</v>
      </c>
      <c r="J96" s="21">
        <f>106000000+90000000+46200000</f>
        <v>242200000</v>
      </c>
      <c r="K96" s="60">
        <v>248478958</v>
      </c>
      <c r="L96" s="60"/>
      <c r="M96" s="21">
        <f>36383010+225000000+144137560</f>
        <v>405520570</v>
      </c>
      <c r="N96" s="60"/>
      <c r="O96" s="60"/>
      <c r="P96" s="60"/>
      <c r="Q96" s="60"/>
      <c r="R96" s="60"/>
      <c r="S96" s="60"/>
      <c r="T96" s="60"/>
      <c r="U96" s="60"/>
      <c r="V96" s="60"/>
      <c r="W96" s="60"/>
      <c r="X96" s="60"/>
      <c r="Y96" s="60"/>
      <c r="Z96" s="60">
        <v>151521042</v>
      </c>
      <c r="AA96" s="60"/>
      <c r="AB96" s="60"/>
      <c r="AC96" s="21"/>
      <c r="AD96" s="60"/>
      <c r="AE96" s="60"/>
      <c r="AF96" s="60">
        <f>10000000</f>
        <v>10000000</v>
      </c>
      <c r="AG96" s="23">
        <f t="shared" si="54"/>
        <v>0.66475653584008487</v>
      </c>
      <c r="AH96" s="21">
        <f t="shared" si="40"/>
        <v>703126662</v>
      </c>
      <c r="AI96" s="60">
        <f>+'[1]Acuerdo PLAN INVERSIÓN 2021'!$L$6496</f>
        <v>139584667</v>
      </c>
      <c r="AJ96" s="60">
        <f>+'[1]Acuerdo PLAN INVERSIÓN 2021'!$J$6496</f>
        <v>240679663</v>
      </c>
      <c r="AK96" s="60"/>
      <c r="AL96" s="60">
        <f>+'[1]Acuerdo PLAN INVERSIÓN 2021'!$M$6496</f>
        <v>165734932</v>
      </c>
      <c r="AM96" s="60"/>
      <c r="AN96" s="60"/>
      <c r="AO96" s="60"/>
      <c r="AP96" s="60"/>
      <c r="AQ96" s="60"/>
      <c r="AR96" s="60"/>
      <c r="AS96" s="60"/>
      <c r="AT96" s="60"/>
      <c r="AU96" s="60"/>
      <c r="AV96" s="60"/>
      <c r="AW96" s="60"/>
      <c r="AX96" s="60"/>
      <c r="AY96" s="60">
        <f>+'[1]Acuerdo PLAN INVERSIÓN 2021'!$AA$6496</f>
        <v>147264000</v>
      </c>
      <c r="AZ96" s="60"/>
      <c r="BA96" s="60"/>
      <c r="BB96" s="60"/>
      <c r="BC96" s="60"/>
      <c r="BD96" s="60"/>
      <c r="BE96" s="60">
        <f>+'[1]Acuerdo PLAN INVERSIÓN 2021'!$AF$6496</f>
        <v>9863400</v>
      </c>
      <c r="BF96" s="23">
        <f t="shared" si="57"/>
        <v>0.33524346415991513</v>
      </c>
      <c r="BG96" s="21">
        <f t="shared" si="64"/>
        <v>354593908</v>
      </c>
      <c r="BH96" s="21">
        <f t="shared" si="73"/>
        <v>102615333</v>
      </c>
      <c r="BI96" s="21">
        <f t="shared" si="73"/>
        <v>7799295</v>
      </c>
      <c r="BJ96" s="21">
        <f t="shared" si="73"/>
        <v>0</v>
      </c>
      <c r="BK96" s="21">
        <f t="shared" si="73"/>
        <v>239785638</v>
      </c>
      <c r="BL96" s="21">
        <f t="shared" si="73"/>
        <v>0</v>
      </c>
      <c r="BM96" s="21">
        <f t="shared" si="73"/>
        <v>0</v>
      </c>
      <c r="BN96" s="21">
        <f t="shared" si="73"/>
        <v>0</v>
      </c>
      <c r="BO96" s="21">
        <f t="shared" si="73"/>
        <v>0</v>
      </c>
      <c r="BP96" s="21">
        <f t="shared" si="73"/>
        <v>0</v>
      </c>
      <c r="BQ96" s="21">
        <f t="shared" si="73"/>
        <v>0</v>
      </c>
      <c r="BR96" s="21">
        <f t="shared" si="73"/>
        <v>0</v>
      </c>
      <c r="BS96" s="21">
        <f t="shared" si="73"/>
        <v>0</v>
      </c>
      <c r="BT96" s="21">
        <f t="shared" si="73"/>
        <v>0</v>
      </c>
      <c r="BU96" s="21">
        <f t="shared" si="73"/>
        <v>0</v>
      </c>
      <c r="BV96" s="21">
        <f t="shared" si="73"/>
        <v>0</v>
      </c>
      <c r="BW96" s="21">
        <f>+Y96-AX96</f>
        <v>0</v>
      </c>
      <c r="BX96" s="21">
        <f t="shared" si="66"/>
        <v>4257042</v>
      </c>
      <c r="BY96" s="21">
        <f t="shared" si="66"/>
        <v>0</v>
      </c>
      <c r="BZ96" s="21">
        <f t="shared" si="66"/>
        <v>0</v>
      </c>
      <c r="CA96" s="21">
        <f t="shared" si="66"/>
        <v>0</v>
      </c>
      <c r="CB96" s="21">
        <f t="shared" si="66"/>
        <v>0</v>
      </c>
      <c r="CC96" s="21">
        <f t="shared" si="66"/>
        <v>0</v>
      </c>
      <c r="CD96" s="21">
        <f t="shared" si="66"/>
        <v>136600</v>
      </c>
      <c r="CE96" s="23">
        <f t="shared" si="55"/>
        <v>0.66475653584008487</v>
      </c>
      <c r="CF96" s="21">
        <f t="shared" si="70"/>
        <v>703126662</v>
      </c>
      <c r="CG96" s="60">
        <f>+'[1]Acuerdo PLAN INVERSIÓN 2021'!$L$6496</f>
        <v>139584667</v>
      </c>
      <c r="CH96" s="60">
        <f>+'[1]Acuerdo PLAN INVERSIÓN 2021'!$J$6496</f>
        <v>240679663</v>
      </c>
      <c r="CI96" s="60"/>
      <c r="CJ96" s="60">
        <f>+'[1]Acuerdo PLAN INVERSIÓN 2021'!$M$6496</f>
        <v>165734932</v>
      </c>
      <c r="CK96" s="60"/>
      <c r="CL96" s="60"/>
      <c r="CM96" s="60"/>
      <c r="CN96" s="60"/>
      <c r="CO96" s="60"/>
      <c r="CP96" s="60"/>
      <c r="CQ96" s="60"/>
      <c r="CR96" s="60"/>
      <c r="CS96" s="60"/>
      <c r="CT96" s="60"/>
      <c r="CU96" s="60"/>
      <c r="CV96" s="60"/>
      <c r="CW96" s="60">
        <f>+'[1]Acuerdo PLAN INVERSIÓN 2021'!$AA$6496</f>
        <v>147264000</v>
      </c>
      <c r="CX96" s="60"/>
      <c r="CY96" s="60"/>
      <c r="CZ96" s="60"/>
      <c r="DA96" s="60"/>
      <c r="DB96" s="60"/>
      <c r="DC96" s="60">
        <f>+'[1]Acuerdo PLAN INVERSIÓN 2021'!$AF$6496</f>
        <v>9863400</v>
      </c>
      <c r="DD96" s="23">
        <f t="shared" si="56"/>
        <v>0.33524346415991513</v>
      </c>
      <c r="DE96" s="21">
        <f t="shared" si="45"/>
        <v>354593908</v>
      </c>
      <c r="DF96" s="21">
        <f t="shared" si="74"/>
        <v>102615333</v>
      </c>
      <c r="DG96" s="21">
        <f t="shared" si="74"/>
        <v>7799295</v>
      </c>
      <c r="DH96" s="21">
        <f t="shared" si="74"/>
        <v>0</v>
      </c>
      <c r="DI96" s="21">
        <f t="shared" si="74"/>
        <v>239785638</v>
      </c>
      <c r="DJ96" s="21">
        <f t="shared" si="74"/>
        <v>0</v>
      </c>
      <c r="DK96" s="21">
        <f t="shared" si="74"/>
        <v>0</v>
      </c>
      <c r="DL96" s="21">
        <f t="shared" si="74"/>
        <v>0</v>
      </c>
      <c r="DM96" s="21">
        <f t="shared" si="74"/>
        <v>0</v>
      </c>
      <c r="DN96" s="21">
        <f t="shared" si="74"/>
        <v>0</v>
      </c>
      <c r="DO96" s="21">
        <f t="shared" si="74"/>
        <v>0</v>
      </c>
      <c r="DP96" s="21">
        <f t="shared" si="74"/>
        <v>0</v>
      </c>
      <c r="DQ96" s="21">
        <f t="shared" si="74"/>
        <v>0</v>
      </c>
      <c r="DR96" s="21">
        <f t="shared" si="74"/>
        <v>0</v>
      </c>
      <c r="DS96" s="21">
        <f t="shared" si="74"/>
        <v>0</v>
      </c>
      <c r="DT96" s="21">
        <f t="shared" si="74"/>
        <v>0</v>
      </c>
      <c r="DU96" s="21">
        <f>+Y96-CV96</f>
        <v>0</v>
      </c>
      <c r="DV96" s="21">
        <f t="shared" si="68"/>
        <v>4257042</v>
      </c>
      <c r="DW96" s="21">
        <f t="shared" si="68"/>
        <v>0</v>
      </c>
      <c r="DX96" s="21">
        <f t="shared" si="68"/>
        <v>0</v>
      </c>
      <c r="DY96" s="21">
        <f t="shared" si="68"/>
        <v>0</v>
      </c>
      <c r="DZ96" s="21">
        <f t="shared" si="68"/>
        <v>0</v>
      </c>
      <c r="EA96" s="21">
        <f t="shared" si="68"/>
        <v>0</v>
      </c>
      <c r="EB96" s="21">
        <f t="shared" si="68"/>
        <v>136600</v>
      </c>
      <c r="EE96" s="39">
        <f t="shared" si="71"/>
        <v>1057720570</v>
      </c>
      <c r="EF96" s="39">
        <f t="shared" si="72"/>
        <v>703126662</v>
      </c>
    </row>
    <row r="97" spans="1:137" ht="25.5" hidden="1" customHeight="1" x14ac:dyDescent="0.25">
      <c r="A97" s="181"/>
      <c r="B97" s="170"/>
      <c r="C97" s="44" t="s">
        <v>286</v>
      </c>
      <c r="D97" s="59" t="s">
        <v>287</v>
      </c>
      <c r="E97" s="19">
        <v>301</v>
      </c>
      <c r="F97" s="20" t="s">
        <v>243</v>
      </c>
      <c r="G97" s="21">
        <f t="shared" si="63"/>
        <v>292233877</v>
      </c>
      <c r="H97" s="22">
        <v>200000000</v>
      </c>
      <c r="I97" s="22">
        <f t="shared" si="69"/>
        <v>-92233877</v>
      </c>
      <c r="J97" s="60">
        <f>92642826+72233333</f>
        <v>164876159</v>
      </c>
      <c r="K97" s="60"/>
      <c r="L97" s="60"/>
      <c r="M97" s="60"/>
      <c r="N97" s="60"/>
      <c r="O97" s="60"/>
      <c r="P97" s="60"/>
      <c r="Q97" s="60"/>
      <c r="R97" s="60"/>
      <c r="S97" s="60"/>
      <c r="T97" s="60"/>
      <c r="U97" s="60"/>
      <c r="V97" s="60"/>
      <c r="W97" s="60"/>
      <c r="X97" s="60"/>
      <c r="Y97" s="60"/>
      <c r="Z97" s="60">
        <v>120000000</v>
      </c>
      <c r="AA97" s="60">
        <v>7357718</v>
      </c>
      <c r="AB97" s="60"/>
      <c r="AC97" s="21"/>
      <c r="AD97" s="60"/>
      <c r="AE97" s="60"/>
      <c r="AF97" s="60"/>
      <c r="AG97" s="23">
        <f t="shared" si="54"/>
        <v>0.76828874976736528</v>
      </c>
      <c r="AH97" s="21">
        <f t="shared" si="40"/>
        <v>224520000</v>
      </c>
      <c r="AI97" s="60">
        <f>+'[1]Acuerdo PLAN INVERSIÓN 2021'!$L$6789</f>
        <v>105896667</v>
      </c>
      <c r="AJ97" s="60"/>
      <c r="AK97" s="60"/>
      <c r="AL97" s="60"/>
      <c r="AM97" s="60"/>
      <c r="AN97" s="60"/>
      <c r="AO97" s="60"/>
      <c r="AP97" s="60"/>
      <c r="AQ97" s="60"/>
      <c r="AR97" s="60"/>
      <c r="AS97" s="60"/>
      <c r="AT97" s="60"/>
      <c r="AU97" s="60"/>
      <c r="AV97" s="60"/>
      <c r="AW97" s="60"/>
      <c r="AX97" s="60"/>
      <c r="AY97" s="60">
        <f>+'[1]Acuerdo PLAN INVERSIÓN 2021'!$AA$6789</f>
        <v>111265615</v>
      </c>
      <c r="AZ97" s="60">
        <f>+'[4]Acuerdo PLAN INVERSIÓN 2021'!$X$2726</f>
        <v>7357718</v>
      </c>
      <c r="BA97" s="60"/>
      <c r="BB97" s="60"/>
      <c r="BC97" s="60"/>
      <c r="BD97" s="60"/>
      <c r="BE97" s="60"/>
      <c r="BF97" s="23">
        <f t="shared" si="57"/>
        <v>0.23171125023263472</v>
      </c>
      <c r="BG97" s="21">
        <f t="shared" si="64"/>
        <v>67713877</v>
      </c>
      <c r="BH97" s="21">
        <f t="shared" si="73"/>
        <v>58979492</v>
      </c>
      <c r="BI97" s="21">
        <f t="shared" si="73"/>
        <v>0</v>
      </c>
      <c r="BJ97" s="21">
        <f t="shared" si="73"/>
        <v>0</v>
      </c>
      <c r="BK97" s="21">
        <f t="shared" si="73"/>
        <v>0</v>
      </c>
      <c r="BL97" s="21">
        <f t="shared" si="73"/>
        <v>0</v>
      </c>
      <c r="BM97" s="21">
        <f t="shared" si="73"/>
        <v>0</v>
      </c>
      <c r="BN97" s="21">
        <f t="shared" si="73"/>
        <v>0</v>
      </c>
      <c r="BO97" s="21">
        <f t="shared" si="73"/>
        <v>0</v>
      </c>
      <c r="BP97" s="21">
        <f t="shared" si="73"/>
        <v>0</v>
      </c>
      <c r="BQ97" s="21">
        <f t="shared" si="73"/>
        <v>0</v>
      </c>
      <c r="BR97" s="21">
        <f t="shared" si="73"/>
        <v>0</v>
      </c>
      <c r="BS97" s="21">
        <f t="shared" si="73"/>
        <v>0</v>
      </c>
      <c r="BT97" s="21">
        <f t="shared" si="73"/>
        <v>0</v>
      </c>
      <c r="BU97" s="21">
        <f t="shared" si="73"/>
        <v>0</v>
      </c>
      <c r="BV97" s="21">
        <f t="shared" si="73"/>
        <v>0</v>
      </c>
      <c r="BW97" s="21">
        <f>+Y97-AX97</f>
        <v>0</v>
      </c>
      <c r="BX97" s="21">
        <f t="shared" si="66"/>
        <v>8734385</v>
      </c>
      <c r="BY97" s="21">
        <f t="shared" si="66"/>
        <v>0</v>
      </c>
      <c r="BZ97" s="21">
        <f t="shared" si="66"/>
        <v>0</v>
      </c>
      <c r="CA97" s="21">
        <f t="shared" si="66"/>
        <v>0</v>
      </c>
      <c r="CB97" s="21">
        <f t="shared" si="66"/>
        <v>0</v>
      </c>
      <c r="CC97" s="21">
        <f t="shared" si="66"/>
        <v>0</v>
      </c>
      <c r="CD97" s="21">
        <f t="shared" si="66"/>
        <v>0</v>
      </c>
      <c r="CE97" s="23">
        <f t="shared" si="55"/>
        <v>0.76828874976736528</v>
      </c>
      <c r="CF97" s="21">
        <f t="shared" si="70"/>
        <v>224520000</v>
      </c>
      <c r="CG97" s="60">
        <f>+'[1]Acuerdo PLAN INVERSIÓN 2021'!$L$6789</f>
        <v>105896667</v>
      </c>
      <c r="CH97" s="60"/>
      <c r="CI97" s="60"/>
      <c r="CJ97" s="60"/>
      <c r="CK97" s="60"/>
      <c r="CL97" s="60"/>
      <c r="CM97" s="60"/>
      <c r="CN97" s="60"/>
      <c r="CO97" s="60"/>
      <c r="CP97" s="60"/>
      <c r="CQ97" s="60"/>
      <c r="CR97" s="60"/>
      <c r="CS97" s="60"/>
      <c r="CT97" s="60"/>
      <c r="CU97" s="60"/>
      <c r="CV97" s="60"/>
      <c r="CW97" s="60">
        <f>+'[1]Acuerdo PLAN INVERSIÓN 2021'!$AA$6789</f>
        <v>111265615</v>
      </c>
      <c r="CX97" s="60">
        <f>+'[4]Acuerdo PLAN INVERSIÓN 2021'!$X$2726</f>
        <v>7357718</v>
      </c>
      <c r="CY97" s="60"/>
      <c r="CZ97" s="60"/>
      <c r="DA97" s="60"/>
      <c r="DB97" s="60"/>
      <c r="DC97" s="60"/>
      <c r="DD97" s="23">
        <f t="shared" si="56"/>
        <v>0.23171125023263472</v>
      </c>
      <c r="DE97" s="21">
        <f t="shared" si="45"/>
        <v>67713877</v>
      </c>
      <c r="DF97" s="21">
        <f t="shared" si="74"/>
        <v>58979492</v>
      </c>
      <c r="DG97" s="21">
        <f t="shared" si="74"/>
        <v>0</v>
      </c>
      <c r="DH97" s="21">
        <f t="shared" si="74"/>
        <v>0</v>
      </c>
      <c r="DI97" s="21">
        <f t="shared" si="74"/>
        <v>0</v>
      </c>
      <c r="DJ97" s="21">
        <f t="shared" si="74"/>
        <v>0</v>
      </c>
      <c r="DK97" s="21">
        <f t="shared" si="74"/>
        <v>0</v>
      </c>
      <c r="DL97" s="21">
        <f t="shared" si="74"/>
        <v>0</v>
      </c>
      <c r="DM97" s="21">
        <f t="shared" si="74"/>
        <v>0</v>
      </c>
      <c r="DN97" s="21">
        <f t="shared" si="74"/>
        <v>0</v>
      </c>
      <c r="DO97" s="21">
        <f t="shared" si="74"/>
        <v>0</v>
      </c>
      <c r="DP97" s="21">
        <f t="shared" si="74"/>
        <v>0</v>
      </c>
      <c r="DQ97" s="21">
        <f t="shared" si="74"/>
        <v>0</v>
      </c>
      <c r="DR97" s="21">
        <f t="shared" si="74"/>
        <v>0</v>
      </c>
      <c r="DS97" s="21">
        <f t="shared" si="74"/>
        <v>0</v>
      </c>
      <c r="DT97" s="21">
        <f t="shared" si="74"/>
        <v>0</v>
      </c>
      <c r="DU97" s="21">
        <f>+Y97-CV97</f>
        <v>0</v>
      </c>
      <c r="DV97" s="21">
        <f t="shared" si="68"/>
        <v>8734385</v>
      </c>
      <c r="DW97" s="21">
        <f t="shared" si="68"/>
        <v>0</v>
      </c>
      <c r="DX97" s="21">
        <f t="shared" si="68"/>
        <v>0</v>
      </c>
      <c r="DY97" s="21">
        <f t="shared" si="68"/>
        <v>0</v>
      </c>
      <c r="DZ97" s="21">
        <f t="shared" si="68"/>
        <v>0</v>
      </c>
      <c r="EA97" s="21">
        <f t="shared" si="68"/>
        <v>0</v>
      </c>
      <c r="EB97" s="21">
        <f t="shared" si="68"/>
        <v>0</v>
      </c>
      <c r="EE97" s="39">
        <f t="shared" si="71"/>
        <v>292233877</v>
      </c>
      <c r="EF97" s="39">
        <f t="shared" si="72"/>
        <v>224520000</v>
      </c>
      <c r="EG97" s="134">
        <f>+CE97</f>
        <v>0.76828874976736528</v>
      </c>
    </row>
    <row r="98" spans="1:137" s="38" customFormat="1" ht="21" customHeight="1" thickTop="1" thickBot="1" x14ac:dyDescent="0.3">
      <c r="A98" s="56"/>
      <c r="B98" s="213" t="s">
        <v>288</v>
      </c>
      <c r="C98" s="214"/>
      <c r="D98" s="214"/>
      <c r="E98" s="215"/>
      <c r="F98" s="130"/>
      <c r="G98" s="125">
        <f t="shared" ref="G98:AF98" si="75">SUM(G79:G97)</f>
        <v>4618928674</v>
      </c>
      <c r="H98" s="125">
        <f t="shared" si="75"/>
        <v>4682573500</v>
      </c>
      <c r="I98" s="125">
        <f t="shared" si="75"/>
        <v>63644826</v>
      </c>
      <c r="J98" s="125">
        <f t="shared" si="75"/>
        <v>1124229659</v>
      </c>
      <c r="K98" s="125">
        <f t="shared" si="75"/>
        <v>248478958</v>
      </c>
      <c r="L98" s="125">
        <f t="shared" si="75"/>
        <v>24243035</v>
      </c>
      <c r="M98" s="125">
        <f t="shared" si="75"/>
        <v>405520570</v>
      </c>
      <c r="N98" s="125">
        <f t="shared" si="75"/>
        <v>0</v>
      </c>
      <c r="O98" s="125">
        <f t="shared" si="75"/>
        <v>0</v>
      </c>
      <c r="P98" s="125">
        <f t="shared" si="75"/>
        <v>0</v>
      </c>
      <c r="Q98" s="125">
        <f t="shared" si="75"/>
        <v>0</v>
      </c>
      <c r="R98" s="125">
        <f t="shared" si="75"/>
        <v>0</v>
      </c>
      <c r="S98" s="125">
        <f t="shared" si="75"/>
        <v>0</v>
      </c>
      <c r="T98" s="125">
        <f t="shared" si="75"/>
        <v>0</v>
      </c>
      <c r="U98" s="125">
        <f t="shared" si="75"/>
        <v>0</v>
      </c>
      <c r="V98" s="125">
        <f t="shared" si="75"/>
        <v>0</v>
      </c>
      <c r="W98" s="125">
        <f t="shared" si="75"/>
        <v>0</v>
      </c>
      <c r="X98" s="125">
        <f t="shared" si="75"/>
        <v>0</v>
      </c>
      <c r="Y98" s="125">
        <f t="shared" si="75"/>
        <v>0</v>
      </c>
      <c r="Z98" s="125">
        <f t="shared" si="75"/>
        <v>456521042</v>
      </c>
      <c r="AA98" s="125">
        <f t="shared" si="75"/>
        <v>549500000</v>
      </c>
      <c r="AB98" s="125">
        <f t="shared" si="75"/>
        <v>0</v>
      </c>
      <c r="AC98" s="125">
        <f t="shared" si="75"/>
        <v>1729072560</v>
      </c>
      <c r="AD98" s="125">
        <f t="shared" si="75"/>
        <v>0</v>
      </c>
      <c r="AE98" s="125">
        <f t="shared" si="75"/>
        <v>0</v>
      </c>
      <c r="AF98" s="125">
        <f t="shared" si="75"/>
        <v>81362850</v>
      </c>
      <c r="AG98" s="123">
        <f t="shared" si="54"/>
        <v>0.46718510336537838</v>
      </c>
      <c r="AH98" s="125">
        <f>SUM(AH79:AH97)</f>
        <v>2157894670</v>
      </c>
      <c r="AI98" s="125">
        <f>SUM(AI79:AI97)</f>
        <v>341231333</v>
      </c>
      <c r="AJ98" s="125">
        <f>SUM(AJ79:AJ97)</f>
        <v>240679663</v>
      </c>
      <c r="AK98" s="125">
        <f>SUM(AK79:AK97)</f>
        <v>2000000</v>
      </c>
      <c r="AL98" s="125">
        <f>SUM(AL79:AL97)</f>
        <v>165734932</v>
      </c>
      <c r="AM98" s="125">
        <f t="shared" ref="AM98:BE98" si="76">SUM(AM79:AM97)</f>
        <v>0</v>
      </c>
      <c r="AN98" s="125">
        <f t="shared" si="76"/>
        <v>0</v>
      </c>
      <c r="AO98" s="125">
        <f t="shared" si="76"/>
        <v>0</v>
      </c>
      <c r="AP98" s="125">
        <f t="shared" si="76"/>
        <v>0</v>
      </c>
      <c r="AQ98" s="125">
        <f t="shared" si="76"/>
        <v>0</v>
      </c>
      <c r="AR98" s="125">
        <f t="shared" si="76"/>
        <v>0</v>
      </c>
      <c r="AS98" s="125">
        <f t="shared" si="76"/>
        <v>0</v>
      </c>
      <c r="AT98" s="125">
        <f t="shared" si="76"/>
        <v>0</v>
      </c>
      <c r="AU98" s="125">
        <f t="shared" si="76"/>
        <v>0</v>
      </c>
      <c r="AV98" s="125">
        <f t="shared" si="76"/>
        <v>0</v>
      </c>
      <c r="AW98" s="125">
        <f t="shared" si="76"/>
        <v>0</v>
      </c>
      <c r="AX98" s="125">
        <f t="shared" si="76"/>
        <v>0</v>
      </c>
      <c r="AY98" s="125">
        <f t="shared" si="76"/>
        <v>374254611</v>
      </c>
      <c r="AZ98" s="125">
        <f t="shared" si="76"/>
        <v>140874848</v>
      </c>
      <c r="BA98" s="125">
        <f t="shared" si="76"/>
        <v>0</v>
      </c>
      <c r="BB98" s="125">
        <f t="shared" si="76"/>
        <v>821205828</v>
      </c>
      <c r="BC98" s="125">
        <f t="shared" si="76"/>
        <v>0</v>
      </c>
      <c r="BD98" s="125">
        <f t="shared" si="76"/>
        <v>0</v>
      </c>
      <c r="BE98" s="125">
        <f t="shared" si="76"/>
        <v>71913455</v>
      </c>
      <c r="BF98" s="121">
        <f t="shared" si="57"/>
        <v>0.53281489663462156</v>
      </c>
      <c r="BG98" s="125">
        <f t="shared" ref="BG98:CD98" si="77">SUM(BG79:BG97)</f>
        <v>2461034004</v>
      </c>
      <c r="BH98" s="125">
        <f t="shared" si="77"/>
        <v>782998326</v>
      </c>
      <c r="BI98" s="125">
        <f t="shared" si="77"/>
        <v>7799295</v>
      </c>
      <c r="BJ98" s="125">
        <f t="shared" si="77"/>
        <v>22243035</v>
      </c>
      <c r="BK98" s="125">
        <f t="shared" si="77"/>
        <v>239785638</v>
      </c>
      <c r="BL98" s="125">
        <f t="shared" si="77"/>
        <v>0</v>
      </c>
      <c r="BM98" s="125">
        <f t="shared" si="77"/>
        <v>0</v>
      </c>
      <c r="BN98" s="125">
        <f t="shared" si="77"/>
        <v>0</v>
      </c>
      <c r="BO98" s="125">
        <f t="shared" si="77"/>
        <v>0</v>
      </c>
      <c r="BP98" s="125">
        <f t="shared" si="77"/>
        <v>0</v>
      </c>
      <c r="BQ98" s="125">
        <f t="shared" si="77"/>
        <v>0</v>
      </c>
      <c r="BR98" s="125">
        <f t="shared" si="77"/>
        <v>0</v>
      </c>
      <c r="BS98" s="125">
        <f t="shared" si="77"/>
        <v>0</v>
      </c>
      <c r="BT98" s="125">
        <f t="shared" si="77"/>
        <v>0</v>
      </c>
      <c r="BU98" s="125">
        <f t="shared" si="77"/>
        <v>0</v>
      </c>
      <c r="BV98" s="125">
        <f t="shared" si="77"/>
        <v>0</v>
      </c>
      <c r="BW98" s="125">
        <f t="shared" si="77"/>
        <v>0</v>
      </c>
      <c r="BX98" s="125">
        <f t="shared" si="77"/>
        <v>82266431</v>
      </c>
      <c r="BY98" s="125">
        <f t="shared" si="77"/>
        <v>408625152</v>
      </c>
      <c r="BZ98" s="125">
        <f t="shared" si="77"/>
        <v>0</v>
      </c>
      <c r="CA98" s="125">
        <f t="shared" si="77"/>
        <v>907866732</v>
      </c>
      <c r="CB98" s="125">
        <f t="shared" si="77"/>
        <v>0</v>
      </c>
      <c r="CC98" s="125">
        <f t="shared" si="77"/>
        <v>0</v>
      </c>
      <c r="CD98" s="125">
        <f t="shared" si="77"/>
        <v>9449395</v>
      </c>
      <c r="CE98" s="121">
        <f t="shared" si="55"/>
        <v>0.46718510336537838</v>
      </c>
      <c r="CF98" s="125">
        <f>SUM(CF79:CF97)</f>
        <v>2157894670</v>
      </c>
      <c r="CG98" s="125">
        <f>SUM(CG79:CG97)</f>
        <v>341231333</v>
      </c>
      <c r="CH98" s="125">
        <f t="shared" ref="CH98:DB98" si="78">SUM(CH79:CH97)</f>
        <v>240679663</v>
      </c>
      <c r="CI98" s="125">
        <f t="shared" si="78"/>
        <v>2000000</v>
      </c>
      <c r="CJ98" s="125">
        <f t="shared" si="78"/>
        <v>165734932</v>
      </c>
      <c r="CK98" s="125">
        <f t="shared" si="78"/>
        <v>0</v>
      </c>
      <c r="CL98" s="125">
        <f t="shared" si="78"/>
        <v>0</v>
      </c>
      <c r="CM98" s="125">
        <f t="shared" si="78"/>
        <v>0</v>
      </c>
      <c r="CN98" s="125">
        <f t="shared" si="78"/>
        <v>0</v>
      </c>
      <c r="CO98" s="125">
        <f t="shared" si="78"/>
        <v>0</v>
      </c>
      <c r="CP98" s="125">
        <f t="shared" si="78"/>
        <v>0</v>
      </c>
      <c r="CQ98" s="125">
        <f t="shared" si="78"/>
        <v>0</v>
      </c>
      <c r="CR98" s="125">
        <f t="shared" si="78"/>
        <v>0</v>
      </c>
      <c r="CS98" s="125">
        <f t="shared" si="78"/>
        <v>0</v>
      </c>
      <c r="CT98" s="125">
        <f t="shared" si="78"/>
        <v>0</v>
      </c>
      <c r="CU98" s="125">
        <f t="shared" si="78"/>
        <v>0</v>
      </c>
      <c r="CV98" s="125">
        <f t="shared" si="78"/>
        <v>0</v>
      </c>
      <c r="CW98" s="125">
        <f>SUM(CW79:CW97)</f>
        <v>374254611</v>
      </c>
      <c r="CX98" s="125">
        <f t="shared" si="78"/>
        <v>140874848</v>
      </c>
      <c r="CY98" s="125">
        <f>SUM(CY79:CY97)</f>
        <v>0</v>
      </c>
      <c r="CZ98" s="125">
        <f t="shared" si="78"/>
        <v>821205828</v>
      </c>
      <c r="DA98" s="125">
        <f t="shared" si="78"/>
        <v>0</v>
      </c>
      <c r="DB98" s="125">
        <f t="shared" si="78"/>
        <v>0</v>
      </c>
      <c r="DC98" s="125">
        <f>SUM(DC79:DC97)</f>
        <v>71913455</v>
      </c>
      <c r="DD98" s="123">
        <f t="shared" si="56"/>
        <v>0.53281489663462156</v>
      </c>
      <c r="DE98" s="125">
        <f t="shared" ref="DE98:EB98" si="79">SUM(DE79:DE97)</f>
        <v>2461034004</v>
      </c>
      <c r="DF98" s="125">
        <f t="shared" si="79"/>
        <v>782998326</v>
      </c>
      <c r="DG98" s="125">
        <f t="shared" si="79"/>
        <v>7799295</v>
      </c>
      <c r="DH98" s="125">
        <f t="shared" si="79"/>
        <v>22243035</v>
      </c>
      <c r="DI98" s="125">
        <f t="shared" si="79"/>
        <v>239785638</v>
      </c>
      <c r="DJ98" s="125">
        <f t="shared" si="79"/>
        <v>0</v>
      </c>
      <c r="DK98" s="125">
        <f t="shared" si="79"/>
        <v>0</v>
      </c>
      <c r="DL98" s="125">
        <f t="shared" si="79"/>
        <v>0</v>
      </c>
      <c r="DM98" s="125">
        <f t="shared" si="79"/>
        <v>0</v>
      </c>
      <c r="DN98" s="125">
        <f t="shared" si="79"/>
        <v>0</v>
      </c>
      <c r="DO98" s="125">
        <f t="shared" si="79"/>
        <v>0</v>
      </c>
      <c r="DP98" s="125">
        <f t="shared" si="79"/>
        <v>0</v>
      </c>
      <c r="DQ98" s="125">
        <f t="shared" si="79"/>
        <v>0</v>
      </c>
      <c r="DR98" s="125">
        <f t="shared" si="79"/>
        <v>0</v>
      </c>
      <c r="DS98" s="125">
        <f t="shared" si="79"/>
        <v>0</v>
      </c>
      <c r="DT98" s="125">
        <f t="shared" si="79"/>
        <v>0</v>
      </c>
      <c r="DU98" s="125">
        <f t="shared" si="79"/>
        <v>0</v>
      </c>
      <c r="DV98" s="125">
        <f t="shared" si="79"/>
        <v>82266431</v>
      </c>
      <c r="DW98" s="125">
        <f t="shared" si="79"/>
        <v>408625152</v>
      </c>
      <c r="DX98" s="125">
        <f t="shared" si="79"/>
        <v>0</v>
      </c>
      <c r="DY98" s="125">
        <f t="shared" si="79"/>
        <v>907866732</v>
      </c>
      <c r="DZ98" s="125">
        <f t="shared" si="79"/>
        <v>0</v>
      </c>
      <c r="EA98" s="125">
        <f t="shared" si="79"/>
        <v>0</v>
      </c>
      <c r="EB98" s="125">
        <f t="shared" si="79"/>
        <v>9449395</v>
      </c>
      <c r="ED98" s="136" t="s">
        <v>385</v>
      </c>
      <c r="EE98" s="39">
        <f t="shared" si="71"/>
        <v>4618928674</v>
      </c>
      <c r="EF98" s="39">
        <f t="shared" si="72"/>
        <v>2157894670</v>
      </c>
      <c r="EG98" s="139">
        <f>+CE98</f>
        <v>0.46718510336537838</v>
      </c>
    </row>
    <row r="99" spans="1:137" ht="20.399999999999999" hidden="1" customHeight="1" thickTop="1" x14ac:dyDescent="0.25">
      <c r="A99" s="167"/>
      <c r="B99" s="168" t="s">
        <v>289</v>
      </c>
      <c r="C99" s="44" t="s">
        <v>290</v>
      </c>
      <c r="D99" s="18" t="s">
        <v>291</v>
      </c>
      <c r="E99" s="61">
        <v>111</v>
      </c>
      <c r="F99" s="20" t="s">
        <v>243</v>
      </c>
      <c r="G99" s="21">
        <f t="shared" ref="G99:G129" si="80">SUM(J99:AF99)</f>
        <v>10598461344</v>
      </c>
      <c r="H99" s="22">
        <v>2559000000</v>
      </c>
      <c r="I99" s="22">
        <f>H99-G99</f>
        <v>-8039461344</v>
      </c>
      <c r="J99" s="21">
        <v>434799132</v>
      </c>
      <c r="K99" s="60"/>
      <c r="L99" s="21"/>
      <c r="M99" s="21">
        <f>1072500000+565035267</f>
        <v>1637535267</v>
      </c>
      <c r="N99" s="21">
        <v>6856843769</v>
      </c>
      <c r="O99" s="21"/>
      <c r="P99" s="21"/>
      <c r="Q99" s="21">
        <v>510290626</v>
      </c>
      <c r="R99" s="21">
        <v>223474173</v>
      </c>
      <c r="S99" s="21"/>
      <c r="T99" s="21">
        <v>412659033</v>
      </c>
      <c r="U99" s="21"/>
      <c r="V99" s="21"/>
      <c r="W99" s="21">
        <v>188082849</v>
      </c>
      <c r="X99" s="21">
        <v>290776495</v>
      </c>
      <c r="Y99" s="21"/>
      <c r="Z99" s="21"/>
      <c r="AA99" s="21"/>
      <c r="AB99" s="21"/>
      <c r="AC99" s="21"/>
      <c r="AD99" s="21"/>
      <c r="AE99" s="21"/>
      <c r="AF99" s="21">
        <f>44000000</f>
        <v>44000000</v>
      </c>
      <c r="AG99" s="42">
        <f t="shared" si="54"/>
        <v>0.73993417152383212</v>
      </c>
      <c r="AH99" s="21">
        <f t="shared" si="40"/>
        <v>7842163714</v>
      </c>
      <c r="AI99" s="21">
        <f>+'[6]Acuerdo PLAN INVERSIÓN 2021'!$L$2277</f>
        <v>434799132</v>
      </c>
      <c r="AJ99" s="21"/>
      <c r="AK99" s="21"/>
      <c r="AL99" s="21"/>
      <c r="AM99" s="21">
        <f>+'[6]Acuerdo PLAN INVERSIÓN 2021'!$N$2277</f>
        <v>6855066956</v>
      </c>
      <c r="AN99" s="21"/>
      <c r="AO99" s="21"/>
      <c r="AP99" s="21">
        <v>510290626</v>
      </c>
      <c r="AQ99" s="21"/>
      <c r="AR99" s="21"/>
      <c r="AS99" s="21"/>
      <c r="AT99" s="21"/>
      <c r="AU99" s="21"/>
      <c r="AV99" s="21">
        <f>+'[1]Acuerdo PLAN INVERSIÓN 2021'!$R$6839</f>
        <v>42007000</v>
      </c>
      <c r="AW99" s="21"/>
      <c r="AX99" s="21"/>
      <c r="AY99" s="21"/>
      <c r="AZ99" s="21"/>
      <c r="BA99" s="21"/>
      <c r="BB99" s="21"/>
      <c r="BC99" s="21"/>
      <c r="BD99" s="21"/>
      <c r="BE99" s="21"/>
      <c r="BF99" s="23">
        <f t="shared" si="57"/>
        <v>0.26006582847616788</v>
      </c>
      <c r="BG99" s="21">
        <f t="shared" si="64"/>
        <v>2756297630</v>
      </c>
      <c r="BH99" s="21">
        <f t="shared" ref="BH99:BW114" si="81">+J99-AI99</f>
        <v>0</v>
      </c>
      <c r="BI99" s="21">
        <f t="shared" si="81"/>
        <v>0</v>
      </c>
      <c r="BJ99" s="21">
        <f t="shared" si="81"/>
        <v>0</v>
      </c>
      <c r="BK99" s="21">
        <f t="shared" si="81"/>
        <v>1637535267</v>
      </c>
      <c r="BL99" s="21">
        <f t="shared" si="81"/>
        <v>1776813</v>
      </c>
      <c r="BM99" s="21">
        <f t="shared" si="81"/>
        <v>0</v>
      </c>
      <c r="BN99" s="21">
        <f t="shared" si="81"/>
        <v>0</v>
      </c>
      <c r="BO99" s="21">
        <f t="shared" si="81"/>
        <v>0</v>
      </c>
      <c r="BP99" s="21">
        <f t="shared" si="81"/>
        <v>223474173</v>
      </c>
      <c r="BQ99" s="21">
        <f t="shared" si="81"/>
        <v>0</v>
      </c>
      <c r="BR99" s="21">
        <f t="shared" si="81"/>
        <v>412659033</v>
      </c>
      <c r="BS99" s="21">
        <f t="shared" si="81"/>
        <v>0</v>
      </c>
      <c r="BT99" s="21">
        <f t="shared" si="81"/>
        <v>0</v>
      </c>
      <c r="BU99" s="21">
        <f t="shared" si="81"/>
        <v>146075849</v>
      </c>
      <c r="BV99" s="21">
        <f t="shared" si="81"/>
        <v>290776495</v>
      </c>
      <c r="BW99" s="21">
        <f t="shared" si="81"/>
        <v>0</v>
      </c>
      <c r="BX99" s="21">
        <f t="shared" ref="BX99:CD129" si="82">+Z99-AY99</f>
        <v>0</v>
      </c>
      <c r="BY99" s="21">
        <f t="shared" si="82"/>
        <v>0</v>
      </c>
      <c r="BZ99" s="21">
        <f t="shared" si="82"/>
        <v>0</v>
      </c>
      <c r="CA99" s="21">
        <f t="shared" si="82"/>
        <v>0</v>
      </c>
      <c r="CB99" s="21">
        <f t="shared" si="82"/>
        <v>0</v>
      </c>
      <c r="CC99" s="21">
        <f t="shared" si="82"/>
        <v>0</v>
      </c>
      <c r="CD99" s="21">
        <f t="shared" si="82"/>
        <v>44000000</v>
      </c>
      <c r="CE99" s="42">
        <f t="shared" si="55"/>
        <v>0.73993417152383212</v>
      </c>
      <c r="CF99" s="21">
        <f t="shared" si="44"/>
        <v>7842163714</v>
      </c>
      <c r="CG99" s="21">
        <f>+'[6]Acuerdo PLAN INVERSIÓN 2021'!$L$2277</f>
        <v>434799132</v>
      </c>
      <c r="CH99" s="21"/>
      <c r="CI99" s="21"/>
      <c r="CJ99" s="21"/>
      <c r="CK99" s="21">
        <f>+'[6]Acuerdo PLAN INVERSIÓN 2021'!$N$2277</f>
        <v>6855066956</v>
      </c>
      <c r="CL99" s="21"/>
      <c r="CM99" s="21"/>
      <c r="CN99" s="21">
        <v>510290626</v>
      </c>
      <c r="CO99" s="21"/>
      <c r="CP99" s="21"/>
      <c r="CQ99" s="21"/>
      <c r="CR99" s="21"/>
      <c r="CS99" s="21"/>
      <c r="CT99" s="21">
        <f>+'[1]Acuerdo PLAN INVERSIÓN 2021'!$R$6839</f>
        <v>42007000</v>
      </c>
      <c r="CU99" s="21"/>
      <c r="CV99" s="21"/>
      <c r="CW99" s="21"/>
      <c r="CX99" s="21"/>
      <c r="CY99" s="21"/>
      <c r="CZ99" s="21"/>
      <c r="DA99" s="21"/>
      <c r="DB99" s="21"/>
      <c r="DC99" s="21"/>
      <c r="DD99" s="23">
        <f t="shared" si="56"/>
        <v>0.26006582847616788</v>
      </c>
      <c r="DE99" s="21">
        <f t="shared" ref="DE99:DE129" si="83">SUM(DF99:EB99)</f>
        <v>2756297630</v>
      </c>
      <c r="DF99" s="21">
        <f t="shared" ref="DF99:DU114" si="84">+J99-CG99</f>
        <v>0</v>
      </c>
      <c r="DG99" s="21">
        <f t="shared" si="84"/>
        <v>0</v>
      </c>
      <c r="DH99" s="21">
        <f t="shared" si="84"/>
        <v>0</v>
      </c>
      <c r="DI99" s="21">
        <f t="shared" si="84"/>
        <v>1637535267</v>
      </c>
      <c r="DJ99" s="21">
        <f t="shared" si="84"/>
        <v>1776813</v>
      </c>
      <c r="DK99" s="21">
        <f t="shared" si="84"/>
        <v>0</v>
      </c>
      <c r="DL99" s="21">
        <f t="shared" si="84"/>
        <v>0</v>
      </c>
      <c r="DM99" s="21">
        <f t="shared" si="84"/>
        <v>0</v>
      </c>
      <c r="DN99" s="21">
        <f t="shared" si="84"/>
        <v>223474173</v>
      </c>
      <c r="DO99" s="21">
        <f t="shared" si="84"/>
        <v>0</v>
      </c>
      <c r="DP99" s="21">
        <f t="shared" si="84"/>
        <v>412659033</v>
      </c>
      <c r="DQ99" s="21">
        <f t="shared" si="84"/>
        <v>0</v>
      </c>
      <c r="DR99" s="21">
        <f t="shared" si="84"/>
        <v>0</v>
      </c>
      <c r="DS99" s="21">
        <f t="shared" si="84"/>
        <v>146075849</v>
      </c>
      <c r="DT99" s="21">
        <f t="shared" si="84"/>
        <v>290776495</v>
      </c>
      <c r="DU99" s="21">
        <f t="shared" si="84"/>
        <v>0</v>
      </c>
      <c r="DV99" s="21">
        <f t="shared" ref="DV99:EB129" si="85">+Z99-CW99</f>
        <v>0</v>
      </c>
      <c r="DW99" s="21">
        <f t="shared" si="85"/>
        <v>0</v>
      </c>
      <c r="DX99" s="21">
        <f t="shared" si="85"/>
        <v>0</v>
      </c>
      <c r="DY99" s="21">
        <f t="shared" si="85"/>
        <v>0</v>
      </c>
      <c r="DZ99" s="21">
        <f t="shared" si="85"/>
        <v>0</v>
      </c>
      <c r="EA99" s="21">
        <f t="shared" si="85"/>
        <v>0</v>
      </c>
      <c r="EB99" s="21">
        <f t="shared" si="85"/>
        <v>44000000</v>
      </c>
      <c r="EE99" s="39">
        <f t="shared" si="71"/>
        <v>10598461344</v>
      </c>
      <c r="EF99" s="39">
        <f t="shared" si="72"/>
        <v>7842163714</v>
      </c>
      <c r="EG99" s="64"/>
    </row>
    <row r="100" spans="1:137" s="64" customFormat="1" ht="19.95" hidden="1" customHeight="1" x14ac:dyDescent="0.25">
      <c r="A100" s="167"/>
      <c r="B100" s="168"/>
      <c r="C100" s="44" t="s">
        <v>292</v>
      </c>
      <c r="D100" s="18" t="s">
        <v>293</v>
      </c>
      <c r="E100" s="62">
        <v>111</v>
      </c>
      <c r="F100" s="20" t="s">
        <v>243</v>
      </c>
      <c r="G100" s="21">
        <f t="shared" si="80"/>
        <v>426445085</v>
      </c>
      <c r="H100" s="22">
        <v>500136000</v>
      </c>
      <c r="I100" s="22">
        <f t="shared" ref="I100:I129" si="86">H100-G100</f>
        <v>73690915</v>
      </c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>
        <v>426445085</v>
      </c>
      <c r="X100" s="21"/>
      <c r="Y100" s="21"/>
      <c r="Z100" s="21"/>
      <c r="AA100" s="21"/>
      <c r="AB100" s="21"/>
      <c r="AC100" s="21"/>
      <c r="AD100" s="21"/>
      <c r="AE100" s="21"/>
      <c r="AF100" s="21"/>
      <c r="AG100" s="23">
        <f t="shared" si="54"/>
        <v>0</v>
      </c>
      <c r="AH100" s="21">
        <f t="shared" si="40"/>
        <v>0</v>
      </c>
      <c r="AI100" s="63"/>
      <c r="AJ100" s="63"/>
      <c r="AK100" s="63"/>
      <c r="AL100" s="63"/>
      <c r="AM100" s="63"/>
      <c r="AN100" s="63"/>
      <c r="AO100" s="63"/>
      <c r="AP100" s="63"/>
      <c r="AQ100" s="63"/>
      <c r="AR100" s="63"/>
      <c r="AS100" s="63"/>
      <c r="AT100" s="63"/>
      <c r="AU100" s="63"/>
      <c r="AV100" s="63"/>
      <c r="AW100" s="63"/>
      <c r="AX100" s="63"/>
      <c r="AY100" s="63"/>
      <c r="AZ100" s="63"/>
      <c r="BA100" s="63"/>
      <c r="BB100" s="63"/>
      <c r="BC100" s="63"/>
      <c r="BD100" s="63"/>
      <c r="BE100" s="63"/>
      <c r="BF100" s="23">
        <f t="shared" si="57"/>
        <v>1</v>
      </c>
      <c r="BG100" s="21">
        <f t="shared" si="64"/>
        <v>426445085</v>
      </c>
      <c r="BH100" s="21">
        <f t="shared" si="81"/>
        <v>0</v>
      </c>
      <c r="BI100" s="21">
        <f t="shared" si="81"/>
        <v>0</v>
      </c>
      <c r="BJ100" s="21">
        <f t="shared" si="81"/>
        <v>0</v>
      </c>
      <c r="BK100" s="21">
        <f t="shared" si="81"/>
        <v>0</v>
      </c>
      <c r="BL100" s="21">
        <f t="shared" si="81"/>
        <v>0</v>
      </c>
      <c r="BM100" s="21">
        <f t="shared" si="81"/>
        <v>0</v>
      </c>
      <c r="BN100" s="21">
        <f t="shared" si="81"/>
        <v>0</v>
      </c>
      <c r="BO100" s="21">
        <f t="shared" si="81"/>
        <v>0</v>
      </c>
      <c r="BP100" s="21">
        <f t="shared" si="81"/>
        <v>0</v>
      </c>
      <c r="BQ100" s="21">
        <f t="shared" si="81"/>
        <v>0</v>
      </c>
      <c r="BR100" s="21">
        <f t="shared" si="81"/>
        <v>0</v>
      </c>
      <c r="BS100" s="21">
        <f t="shared" si="81"/>
        <v>0</v>
      </c>
      <c r="BT100" s="21">
        <f t="shared" si="81"/>
        <v>0</v>
      </c>
      <c r="BU100" s="21">
        <f t="shared" si="81"/>
        <v>426445085</v>
      </c>
      <c r="BV100" s="21">
        <f t="shared" si="81"/>
        <v>0</v>
      </c>
      <c r="BW100" s="21">
        <f t="shared" si="81"/>
        <v>0</v>
      </c>
      <c r="BX100" s="21">
        <f t="shared" si="82"/>
        <v>0</v>
      </c>
      <c r="BY100" s="21">
        <f t="shared" si="82"/>
        <v>0</v>
      </c>
      <c r="BZ100" s="21">
        <f t="shared" si="82"/>
        <v>0</v>
      </c>
      <c r="CA100" s="21">
        <f t="shared" si="82"/>
        <v>0</v>
      </c>
      <c r="CB100" s="21">
        <f t="shared" si="82"/>
        <v>0</v>
      </c>
      <c r="CC100" s="21">
        <f t="shared" si="82"/>
        <v>0</v>
      </c>
      <c r="CD100" s="21">
        <f t="shared" si="82"/>
        <v>0</v>
      </c>
      <c r="CE100" s="23">
        <f t="shared" si="55"/>
        <v>0</v>
      </c>
      <c r="CF100" s="21">
        <f t="shared" si="44"/>
        <v>0</v>
      </c>
      <c r="CG100" s="63"/>
      <c r="CH100" s="63"/>
      <c r="CI100" s="63"/>
      <c r="CJ100" s="63"/>
      <c r="CK100" s="63"/>
      <c r="CL100" s="63"/>
      <c r="CM100" s="63"/>
      <c r="CN100" s="21"/>
      <c r="CO100" s="21"/>
      <c r="CP100" s="63"/>
      <c r="CQ100" s="63"/>
      <c r="CR100" s="63"/>
      <c r="CS100" s="63"/>
      <c r="CT100" s="63"/>
      <c r="CU100" s="63"/>
      <c r="CV100" s="63"/>
      <c r="CW100" s="63"/>
      <c r="CX100" s="63"/>
      <c r="CY100" s="63"/>
      <c r="CZ100" s="63"/>
      <c r="DA100" s="63"/>
      <c r="DB100" s="63"/>
      <c r="DC100" s="63"/>
      <c r="DD100" s="23">
        <f t="shared" si="56"/>
        <v>1</v>
      </c>
      <c r="DE100" s="21">
        <f t="shared" si="83"/>
        <v>426445085</v>
      </c>
      <c r="DF100" s="21">
        <f t="shared" si="84"/>
        <v>0</v>
      </c>
      <c r="DG100" s="21">
        <f t="shared" si="84"/>
        <v>0</v>
      </c>
      <c r="DH100" s="21">
        <f t="shared" si="84"/>
        <v>0</v>
      </c>
      <c r="DI100" s="21">
        <f t="shared" si="84"/>
        <v>0</v>
      </c>
      <c r="DJ100" s="21">
        <f t="shared" si="84"/>
        <v>0</v>
      </c>
      <c r="DK100" s="21">
        <f t="shared" si="84"/>
        <v>0</v>
      </c>
      <c r="DL100" s="21">
        <f t="shared" si="84"/>
        <v>0</v>
      </c>
      <c r="DM100" s="21">
        <f t="shared" si="84"/>
        <v>0</v>
      </c>
      <c r="DN100" s="21">
        <f t="shared" si="84"/>
        <v>0</v>
      </c>
      <c r="DO100" s="21">
        <f t="shared" si="84"/>
        <v>0</v>
      </c>
      <c r="DP100" s="21">
        <f t="shared" si="84"/>
        <v>0</v>
      </c>
      <c r="DQ100" s="21">
        <f t="shared" si="84"/>
        <v>0</v>
      </c>
      <c r="DR100" s="21">
        <f t="shared" si="84"/>
        <v>0</v>
      </c>
      <c r="DS100" s="21">
        <f t="shared" si="84"/>
        <v>426445085</v>
      </c>
      <c r="DT100" s="21">
        <f t="shared" si="84"/>
        <v>0</v>
      </c>
      <c r="DU100" s="21">
        <f t="shared" si="84"/>
        <v>0</v>
      </c>
      <c r="DV100" s="21">
        <f t="shared" si="85"/>
        <v>0</v>
      </c>
      <c r="DW100" s="21">
        <f t="shared" si="85"/>
        <v>0</v>
      </c>
      <c r="DX100" s="21">
        <f t="shared" si="85"/>
        <v>0</v>
      </c>
      <c r="DY100" s="21">
        <f t="shared" si="85"/>
        <v>0</v>
      </c>
      <c r="DZ100" s="21">
        <f t="shared" si="85"/>
        <v>0</v>
      </c>
      <c r="EA100" s="21">
        <f t="shared" si="85"/>
        <v>0</v>
      </c>
      <c r="EB100" s="21">
        <f t="shared" si="85"/>
        <v>0</v>
      </c>
      <c r="ED100"/>
      <c r="EE100" s="39">
        <f t="shared" si="71"/>
        <v>426445085</v>
      </c>
      <c r="EF100" s="39">
        <f t="shared" si="72"/>
        <v>0</v>
      </c>
      <c r="EG100"/>
    </row>
    <row r="101" spans="1:137" ht="19.95" hidden="1" customHeight="1" x14ac:dyDescent="0.25">
      <c r="A101" s="167"/>
      <c r="B101" s="168"/>
      <c r="C101" s="44" t="s">
        <v>294</v>
      </c>
      <c r="D101" s="18" t="s">
        <v>295</v>
      </c>
      <c r="E101" s="62">
        <v>111</v>
      </c>
      <c r="F101" s="20" t="s">
        <v>243</v>
      </c>
      <c r="G101" s="21">
        <f t="shared" si="80"/>
        <v>5000000</v>
      </c>
      <c r="H101" s="22">
        <v>350000000</v>
      </c>
      <c r="I101" s="22">
        <f t="shared" si="86"/>
        <v>345000000</v>
      </c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>
        <f>5000000</f>
        <v>5000000</v>
      </c>
      <c r="AG101" s="23">
        <f t="shared" si="54"/>
        <v>0.99741999999999997</v>
      </c>
      <c r="AH101" s="21">
        <f t="shared" si="40"/>
        <v>4987100</v>
      </c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>
        <f>+'[1]Acuerdo PLAN INVERSIÓN 2021'!$AF$6871</f>
        <v>4987100</v>
      </c>
      <c r="BF101" s="23">
        <f t="shared" si="57"/>
        <v>2.5800000000000267E-3</v>
      </c>
      <c r="BG101" s="21">
        <f t="shared" si="64"/>
        <v>12900</v>
      </c>
      <c r="BH101" s="21">
        <f t="shared" si="81"/>
        <v>0</v>
      </c>
      <c r="BI101" s="21">
        <f t="shared" si="81"/>
        <v>0</v>
      </c>
      <c r="BJ101" s="21">
        <f t="shared" si="81"/>
        <v>0</v>
      </c>
      <c r="BK101" s="21">
        <f t="shared" si="81"/>
        <v>0</v>
      </c>
      <c r="BL101" s="21">
        <f t="shared" si="81"/>
        <v>0</v>
      </c>
      <c r="BM101" s="21">
        <f t="shared" si="81"/>
        <v>0</v>
      </c>
      <c r="BN101" s="21">
        <f t="shared" si="81"/>
        <v>0</v>
      </c>
      <c r="BO101" s="21">
        <f t="shared" si="81"/>
        <v>0</v>
      </c>
      <c r="BP101" s="21">
        <f t="shared" si="81"/>
        <v>0</v>
      </c>
      <c r="BQ101" s="21">
        <f t="shared" si="81"/>
        <v>0</v>
      </c>
      <c r="BR101" s="21">
        <f t="shared" si="81"/>
        <v>0</v>
      </c>
      <c r="BS101" s="21">
        <f t="shared" si="81"/>
        <v>0</v>
      </c>
      <c r="BT101" s="21">
        <f t="shared" si="81"/>
        <v>0</v>
      </c>
      <c r="BU101" s="21">
        <f t="shared" si="81"/>
        <v>0</v>
      </c>
      <c r="BV101" s="21">
        <f t="shared" si="81"/>
        <v>0</v>
      </c>
      <c r="BW101" s="21">
        <f t="shared" si="81"/>
        <v>0</v>
      </c>
      <c r="BX101" s="21">
        <f t="shared" si="82"/>
        <v>0</v>
      </c>
      <c r="BY101" s="21">
        <f t="shared" si="82"/>
        <v>0</v>
      </c>
      <c r="BZ101" s="21">
        <f t="shared" si="82"/>
        <v>0</v>
      </c>
      <c r="CA101" s="21">
        <f t="shared" si="82"/>
        <v>0</v>
      </c>
      <c r="CB101" s="21">
        <f t="shared" si="82"/>
        <v>0</v>
      </c>
      <c r="CC101" s="21">
        <f t="shared" si="82"/>
        <v>0</v>
      </c>
      <c r="CD101" s="21">
        <f t="shared" si="82"/>
        <v>12900</v>
      </c>
      <c r="CE101" s="23">
        <f t="shared" si="55"/>
        <v>0.99741999999999997</v>
      </c>
      <c r="CF101" s="21">
        <f t="shared" si="44"/>
        <v>4987100</v>
      </c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>
        <f>+'[1]Acuerdo PLAN INVERSIÓN 2021'!$AF$6871</f>
        <v>4987100</v>
      </c>
      <c r="DD101" s="23">
        <f t="shared" si="56"/>
        <v>2.5800000000000267E-3</v>
      </c>
      <c r="DE101" s="21">
        <f t="shared" si="83"/>
        <v>12900</v>
      </c>
      <c r="DF101" s="21">
        <f t="shared" si="84"/>
        <v>0</v>
      </c>
      <c r="DG101" s="21">
        <f t="shared" si="84"/>
        <v>0</v>
      </c>
      <c r="DH101" s="21">
        <f t="shared" si="84"/>
        <v>0</v>
      </c>
      <c r="DI101" s="21">
        <f t="shared" si="84"/>
        <v>0</v>
      </c>
      <c r="DJ101" s="21">
        <f t="shared" si="84"/>
        <v>0</v>
      </c>
      <c r="DK101" s="21">
        <f t="shared" si="84"/>
        <v>0</v>
      </c>
      <c r="DL101" s="21">
        <f t="shared" si="84"/>
        <v>0</v>
      </c>
      <c r="DM101" s="21">
        <f t="shared" si="84"/>
        <v>0</v>
      </c>
      <c r="DN101" s="21">
        <f t="shared" si="84"/>
        <v>0</v>
      </c>
      <c r="DO101" s="21">
        <f t="shared" si="84"/>
        <v>0</v>
      </c>
      <c r="DP101" s="21">
        <f t="shared" si="84"/>
        <v>0</v>
      </c>
      <c r="DQ101" s="21">
        <f t="shared" si="84"/>
        <v>0</v>
      </c>
      <c r="DR101" s="21">
        <f t="shared" si="84"/>
        <v>0</v>
      </c>
      <c r="DS101" s="21">
        <f t="shared" si="84"/>
        <v>0</v>
      </c>
      <c r="DT101" s="21">
        <f t="shared" si="84"/>
        <v>0</v>
      </c>
      <c r="DU101" s="21">
        <f t="shared" si="84"/>
        <v>0</v>
      </c>
      <c r="DV101" s="21">
        <f t="shared" si="85"/>
        <v>0</v>
      </c>
      <c r="DW101" s="21">
        <f t="shared" si="85"/>
        <v>0</v>
      </c>
      <c r="DX101" s="21">
        <f t="shared" si="85"/>
        <v>0</v>
      </c>
      <c r="DY101" s="21">
        <f t="shared" si="85"/>
        <v>0</v>
      </c>
      <c r="DZ101" s="21">
        <f t="shared" si="85"/>
        <v>0</v>
      </c>
      <c r="EA101" s="21">
        <f t="shared" si="85"/>
        <v>0</v>
      </c>
      <c r="EB101" s="21">
        <f t="shared" si="85"/>
        <v>12900</v>
      </c>
      <c r="EE101" s="39">
        <f t="shared" si="71"/>
        <v>5000000</v>
      </c>
      <c r="EF101" s="39">
        <f t="shared" si="72"/>
        <v>4987100</v>
      </c>
    </row>
    <row r="102" spans="1:137" ht="28.5" hidden="1" customHeight="1" x14ac:dyDescent="0.25">
      <c r="A102" s="167"/>
      <c r="B102" s="168"/>
      <c r="C102" s="44" t="s">
        <v>296</v>
      </c>
      <c r="D102" s="53" t="s">
        <v>297</v>
      </c>
      <c r="E102" s="62">
        <v>111</v>
      </c>
      <c r="F102" s="20" t="s">
        <v>298</v>
      </c>
      <c r="G102" s="21">
        <f t="shared" si="80"/>
        <v>3186726279</v>
      </c>
      <c r="H102" s="22">
        <v>100000000</v>
      </c>
      <c r="I102" s="22">
        <f t="shared" si="86"/>
        <v>-3086726279</v>
      </c>
      <c r="J102" s="21"/>
      <c r="K102" s="60">
        <f>21492594+22519000</f>
        <v>44011594</v>
      </c>
      <c r="L102" s="21"/>
      <c r="M102" s="21">
        <f>1835637612+125185079</f>
        <v>1960822691</v>
      </c>
      <c r="N102" s="21"/>
      <c r="O102" s="21"/>
      <c r="P102" s="21"/>
      <c r="Q102" s="21"/>
      <c r="R102" s="21">
        <f>336385230+33606591</f>
        <v>369991821</v>
      </c>
      <c r="S102" s="21">
        <f>50000000+50000000</f>
        <v>100000000</v>
      </c>
      <c r="T102" s="21"/>
      <c r="U102" s="21"/>
      <c r="V102" s="21">
        <f>72000000+82630269</f>
        <v>154630269</v>
      </c>
      <c r="W102" s="21"/>
      <c r="X102" s="21"/>
      <c r="Y102" s="21"/>
      <c r="Z102" s="21"/>
      <c r="AA102" s="21">
        <v>404000000</v>
      </c>
      <c r="AB102" s="21"/>
      <c r="AC102" s="21"/>
      <c r="AD102" s="21"/>
      <c r="AE102" s="21">
        <f>123846638-36000000-10000000</f>
        <v>77846638</v>
      </c>
      <c r="AF102" s="21">
        <f>15000000+20000000+30000000+25000000-14576734</f>
        <v>75423266</v>
      </c>
      <c r="AG102" s="23">
        <f t="shared" si="54"/>
        <v>0.12039574171409405</v>
      </c>
      <c r="AH102" s="21">
        <f t="shared" si="40"/>
        <v>383668274</v>
      </c>
      <c r="AI102" s="21"/>
      <c r="AJ102" s="21">
        <f>+'[1]Acuerdo PLAN INVERSIÓN 2021'!$J$6883</f>
        <v>0</v>
      </c>
      <c r="AK102" s="21"/>
      <c r="AL102" s="21">
        <f>+'[1]Acuerdo PLAN INVERSIÓN 2021'!$M$6883</f>
        <v>334123055</v>
      </c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>
        <f>+'[1]Acuerdo PLAN INVERSIÓN 2021'!$X$6883</f>
        <v>13021449</v>
      </c>
      <c r="BA102" s="21"/>
      <c r="BB102" s="21"/>
      <c r="BC102" s="21"/>
      <c r="BD102" s="21"/>
      <c r="BE102" s="21">
        <f>+'[1]Acuerdo PLAN INVERSIÓN 2021'!$AF$6883</f>
        <v>36523770</v>
      </c>
      <c r="BF102" s="23">
        <f t="shared" si="57"/>
        <v>0.87960425828590594</v>
      </c>
      <c r="BG102" s="21">
        <f t="shared" si="64"/>
        <v>2803058005</v>
      </c>
      <c r="BH102" s="21">
        <f t="shared" si="81"/>
        <v>0</v>
      </c>
      <c r="BI102" s="21">
        <f t="shared" si="81"/>
        <v>44011594</v>
      </c>
      <c r="BJ102" s="21">
        <f t="shared" si="81"/>
        <v>0</v>
      </c>
      <c r="BK102" s="21">
        <f t="shared" si="81"/>
        <v>1626699636</v>
      </c>
      <c r="BL102" s="21">
        <f t="shared" si="81"/>
        <v>0</v>
      </c>
      <c r="BM102" s="21">
        <f t="shared" si="81"/>
        <v>0</v>
      </c>
      <c r="BN102" s="21">
        <f t="shared" si="81"/>
        <v>0</v>
      </c>
      <c r="BO102" s="21">
        <f t="shared" si="81"/>
        <v>0</v>
      </c>
      <c r="BP102" s="21">
        <f t="shared" si="81"/>
        <v>369991821</v>
      </c>
      <c r="BQ102" s="21">
        <f t="shared" si="81"/>
        <v>100000000</v>
      </c>
      <c r="BR102" s="21">
        <f t="shared" si="81"/>
        <v>0</v>
      </c>
      <c r="BS102" s="21">
        <f t="shared" si="81"/>
        <v>0</v>
      </c>
      <c r="BT102" s="21">
        <f t="shared" si="81"/>
        <v>154630269</v>
      </c>
      <c r="BU102" s="21">
        <f t="shared" si="81"/>
        <v>0</v>
      </c>
      <c r="BV102" s="21">
        <f t="shared" si="81"/>
        <v>0</v>
      </c>
      <c r="BW102" s="21">
        <f t="shared" si="81"/>
        <v>0</v>
      </c>
      <c r="BX102" s="21">
        <f t="shared" si="82"/>
        <v>0</v>
      </c>
      <c r="BY102" s="21">
        <f t="shared" si="82"/>
        <v>390978551</v>
      </c>
      <c r="BZ102" s="21">
        <f t="shared" si="82"/>
        <v>0</v>
      </c>
      <c r="CA102" s="21">
        <f t="shared" si="82"/>
        <v>0</v>
      </c>
      <c r="CB102" s="21">
        <f t="shared" si="82"/>
        <v>0</v>
      </c>
      <c r="CC102" s="21">
        <f t="shared" si="82"/>
        <v>77846638</v>
      </c>
      <c r="CD102" s="21">
        <f t="shared" si="82"/>
        <v>38899496</v>
      </c>
      <c r="CE102" s="23">
        <f t="shared" si="55"/>
        <v>0.12039574171409405</v>
      </c>
      <c r="CF102" s="21">
        <f t="shared" si="44"/>
        <v>383668274</v>
      </c>
      <c r="CG102" s="21"/>
      <c r="CH102" s="21"/>
      <c r="CI102" s="21"/>
      <c r="CJ102" s="21">
        <f>+'[1]Acuerdo PLAN INVERSIÓN 2021'!$M$6883</f>
        <v>334123055</v>
      </c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>
        <f>+'[1]Acuerdo PLAN INVERSIÓN 2021'!$X$6883</f>
        <v>13021449</v>
      </c>
      <c r="CY102" s="21"/>
      <c r="CZ102" s="21"/>
      <c r="DA102" s="21"/>
      <c r="DB102" s="21"/>
      <c r="DC102" s="21">
        <f>+'[1]Acuerdo PLAN INVERSIÓN 2021'!$AF$6883</f>
        <v>36523770</v>
      </c>
      <c r="DD102" s="23">
        <f t="shared" si="56"/>
        <v>0.87960425828590594</v>
      </c>
      <c r="DE102" s="21">
        <f t="shared" si="83"/>
        <v>2803058005</v>
      </c>
      <c r="DF102" s="21">
        <f t="shared" si="84"/>
        <v>0</v>
      </c>
      <c r="DG102" s="21">
        <f t="shared" si="84"/>
        <v>44011594</v>
      </c>
      <c r="DH102" s="21">
        <f t="shared" si="84"/>
        <v>0</v>
      </c>
      <c r="DI102" s="21">
        <f t="shared" si="84"/>
        <v>1626699636</v>
      </c>
      <c r="DJ102" s="21">
        <f t="shared" si="84"/>
        <v>0</v>
      </c>
      <c r="DK102" s="21">
        <f t="shared" si="84"/>
        <v>0</v>
      </c>
      <c r="DL102" s="21">
        <f t="shared" si="84"/>
        <v>0</v>
      </c>
      <c r="DM102" s="21">
        <f t="shared" si="84"/>
        <v>0</v>
      </c>
      <c r="DN102" s="21">
        <f t="shared" si="84"/>
        <v>369991821</v>
      </c>
      <c r="DO102" s="21">
        <f t="shared" si="84"/>
        <v>100000000</v>
      </c>
      <c r="DP102" s="21">
        <f t="shared" si="84"/>
        <v>0</v>
      </c>
      <c r="DQ102" s="21">
        <f t="shared" si="84"/>
        <v>0</v>
      </c>
      <c r="DR102" s="21">
        <f t="shared" si="84"/>
        <v>154630269</v>
      </c>
      <c r="DS102" s="21">
        <f t="shared" si="84"/>
        <v>0</v>
      </c>
      <c r="DT102" s="21">
        <f t="shared" si="84"/>
        <v>0</v>
      </c>
      <c r="DU102" s="21">
        <f t="shared" si="84"/>
        <v>0</v>
      </c>
      <c r="DV102" s="21">
        <f t="shared" si="85"/>
        <v>0</v>
      </c>
      <c r="DW102" s="21">
        <f t="shared" si="85"/>
        <v>390978551</v>
      </c>
      <c r="DX102" s="21">
        <f t="shared" si="85"/>
        <v>0</v>
      </c>
      <c r="DY102" s="21">
        <f t="shared" si="85"/>
        <v>0</v>
      </c>
      <c r="DZ102" s="21">
        <f t="shared" si="85"/>
        <v>0</v>
      </c>
      <c r="EA102" s="21">
        <f t="shared" si="85"/>
        <v>77846638</v>
      </c>
      <c r="EB102" s="21">
        <f t="shared" si="85"/>
        <v>38899496</v>
      </c>
      <c r="EE102" s="39">
        <f t="shared" si="71"/>
        <v>3186726279</v>
      </c>
      <c r="EF102" s="39">
        <f t="shared" si="72"/>
        <v>383668274</v>
      </c>
      <c r="EG102" s="64"/>
    </row>
    <row r="103" spans="1:137" s="64" customFormat="1" ht="24" hidden="1" customHeight="1" x14ac:dyDescent="0.25">
      <c r="A103" s="167"/>
      <c r="B103" s="168"/>
      <c r="C103" s="44" t="s">
        <v>299</v>
      </c>
      <c r="D103" s="29" t="s">
        <v>300</v>
      </c>
      <c r="E103" s="62">
        <v>111</v>
      </c>
      <c r="F103" s="20" t="s">
        <v>243</v>
      </c>
      <c r="G103" s="21">
        <f t="shared" si="80"/>
        <v>727408031</v>
      </c>
      <c r="H103" s="22">
        <v>300000000</v>
      </c>
      <c r="I103" s="22">
        <f t="shared" si="86"/>
        <v>-427408031</v>
      </c>
      <c r="J103" s="41"/>
      <c r="K103" s="21">
        <v>19660000</v>
      </c>
      <c r="L103" s="21"/>
      <c r="M103" s="21">
        <f>110000000+346362801</f>
        <v>456362801</v>
      </c>
      <c r="N103" s="21"/>
      <c r="O103" s="21"/>
      <c r="P103" s="21"/>
      <c r="Q103" s="21"/>
      <c r="R103" s="21"/>
      <c r="S103" s="21"/>
      <c r="T103" s="21">
        <v>251385230</v>
      </c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3">
        <f t="shared" si="54"/>
        <v>0.19729648819343321</v>
      </c>
      <c r="AH103" s="21">
        <f t="shared" si="40"/>
        <v>143515050</v>
      </c>
      <c r="AI103" s="63"/>
      <c r="AJ103" s="63"/>
      <c r="AK103" s="63"/>
      <c r="AL103" s="63">
        <f>+'[1]Acuerdo PLAN INVERSIÓN 2021'!$M$6936</f>
        <v>143515050</v>
      </c>
      <c r="AM103" s="63"/>
      <c r="AN103" s="63"/>
      <c r="AO103" s="63"/>
      <c r="AP103" s="63"/>
      <c r="AQ103" s="63"/>
      <c r="AR103" s="63"/>
      <c r="AS103" s="63"/>
      <c r="AT103" s="63"/>
      <c r="AU103" s="63"/>
      <c r="AV103" s="63"/>
      <c r="AW103" s="63"/>
      <c r="AX103" s="63"/>
      <c r="AY103" s="63"/>
      <c r="AZ103" s="63"/>
      <c r="BA103" s="63"/>
      <c r="BB103" s="63"/>
      <c r="BC103" s="63"/>
      <c r="BD103" s="63"/>
      <c r="BE103" s="63"/>
      <c r="BF103" s="23">
        <f t="shared" si="57"/>
        <v>0.80270351180656685</v>
      </c>
      <c r="BG103" s="21">
        <f t="shared" si="64"/>
        <v>583892981</v>
      </c>
      <c r="BH103" s="21">
        <f t="shared" si="81"/>
        <v>0</v>
      </c>
      <c r="BI103" s="21">
        <f t="shared" si="81"/>
        <v>19660000</v>
      </c>
      <c r="BJ103" s="21">
        <f t="shared" si="81"/>
        <v>0</v>
      </c>
      <c r="BK103" s="21">
        <f t="shared" si="81"/>
        <v>312847751</v>
      </c>
      <c r="BL103" s="21">
        <f t="shared" si="81"/>
        <v>0</v>
      </c>
      <c r="BM103" s="21">
        <f t="shared" si="81"/>
        <v>0</v>
      </c>
      <c r="BN103" s="21">
        <f t="shared" si="81"/>
        <v>0</v>
      </c>
      <c r="BO103" s="21">
        <f t="shared" si="81"/>
        <v>0</v>
      </c>
      <c r="BP103" s="21">
        <f t="shared" si="81"/>
        <v>0</v>
      </c>
      <c r="BQ103" s="21">
        <f t="shared" si="81"/>
        <v>0</v>
      </c>
      <c r="BR103" s="21">
        <f t="shared" si="81"/>
        <v>251385230</v>
      </c>
      <c r="BS103" s="21">
        <f t="shared" si="81"/>
        <v>0</v>
      </c>
      <c r="BT103" s="21">
        <f t="shared" si="81"/>
        <v>0</v>
      </c>
      <c r="BU103" s="21">
        <f t="shared" si="81"/>
        <v>0</v>
      </c>
      <c r="BV103" s="21">
        <f t="shared" si="81"/>
        <v>0</v>
      </c>
      <c r="BW103" s="21">
        <f t="shared" si="81"/>
        <v>0</v>
      </c>
      <c r="BX103" s="21">
        <f t="shared" si="82"/>
        <v>0</v>
      </c>
      <c r="BY103" s="21">
        <f t="shared" si="82"/>
        <v>0</v>
      </c>
      <c r="BZ103" s="21">
        <f t="shared" si="82"/>
        <v>0</v>
      </c>
      <c r="CA103" s="21">
        <f t="shared" si="82"/>
        <v>0</v>
      </c>
      <c r="CB103" s="21">
        <f t="shared" si="82"/>
        <v>0</v>
      </c>
      <c r="CC103" s="21">
        <f t="shared" si="82"/>
        <v>0</v>
      </c>
      <c r="CD103" s="21">
        <f t="shared" si="82"/>
        <v>0</v>
      </c>
      <c r="CE103" s="23">
        <f t="shared" si="55"/>
        <v>0.19729648819343321</v>
      </c>
      <c r="CF103" s="21">
        <f t="shared" si="44"/>
        <v>143515050</v>
      </c>
      <c r="CG103" s="63"/>
      <c r="CH103" s="63"/>
      <c r="CI103" s="63"/>
      <c r="CJ103" s="63">
        <f>+'[5]Acuerdo PLAN INVERSIÓN 2021'!$H$6600</f>
        <v>143515050</v>
      </c>
      <c r="CK103" s="63"/>
      <c r="CL103" s="63"/>
      <c r="CM103" s="63"/>
      <c r="CN103" s="63"/>
      <c r="CO103" s="63"/>
      <c r="CP103" s="63"/>
      <c r="CQ103" s="63"/>
      <c r="CR103" s="63"/>
      <c r="CS103" s="63"/>
      <c r="CT103" s="63"/>
      <c r="CU103" s="63"/>
      <c r="CV103" s="63"/>
      <c r="CW103" s="63"/>
      <c r="CX103" s="63"/>
      <c r="CY103" s="63"/>
      <c r="CZ103" s="63"/>
      <c r="DA103" s="63"/>
      <c r="DB103" s="63"/>
      <c r="DC103" s="63"/>
      <c r="DD103" s="23">
        <f t="shared" si="56"/>
        <v>0.80270351180656685</v>
      </c>
      <c r="DE103" s="21">
        <f t="shared" si="83"/>
        <v>583892981</v>
      </c>
      <c r="DF103" s="21">
        <f t="shared" si="84"/>
        <v>0</v>
      </c>
      <c r="DG103" s="21">
        <f t="shared" si="84"/>
        <v>19660000</v>
      </c>
      <c r="DH103" s="21">
        <f t="shared" si="84"/>
        <v>0</v>
      </c>
      <c r="DI103" s="21">
        <f t="shared" si="84"/>
        <v>312847751</v>
      </c>
      <c r="DJ103" s="21">
        <f t="shared" si="84"/>
        <v>0</v>
      </c>
      <c r="DK103" s="21">
        <f t="shared" si="84"/>
        <v>0</v>
      </c>
      <c r="DL103" s="21">
        <f t="shared" si="84"/>
        <v>0</v>
      </c>
      <c r="DM103" s="21">
        <f t="shared" si="84"/>
        <v>0</v>
      </c>
      <c r="DN103" s="21">
        <f t="shared" si="84"/>
        <v>0</v>
      </c>
      <c r="DO103" s="21">
        <f t="shared" si="84"/>
        <v>0</v>
      </c>
      <c r="DP103" s="21">
        <f t="shared" si="84"/>
        <v>251385230</v>
      </c>
      <c r="DQ103" s="21">
        <f t="shared" si="84"/>
        <v>0</v>
      </c>
      <c r="DR103" s="21">
        <f t="shared" si="84"/>
        <v>0</v>
      </c>
      <c r="DS103" s="21">
        <f t="shared" si="84"/>
        <v>0</v>
      </c>
      <c r="DT103" s="21">
        <f t="shared" si="84"/>
        <v>0</v>
      </c>
      <c r="DU103" s="21">
        <f t="shared" si="84"/>
        <v>0</v>
      </c>
      <c r="DV103" s="21">
        <f t="shared" si="85"/>
        <v>0</v>
      </c>
      <c r="DW103" s="21">
        <f t="shared" si="85"/>
        <v>0</v>
      </c>
      <c r="DX103" s="21">
        <f t="shared" si="85"/>
        <v>0</v>
      </c>
      <c r="DY103" s="21">
        <f t="shared" si="85"/>
        <v>0</v>
      </c>
      <c r="DZ103" s="21">
        <f t="shared" si="85"/>
        <v>0</v>
      </c>
      <c r="EA103" s="21">
        <f t="shared" si="85"/>
        <v>0</v>
      </c>
      <c r="EB103" s="21">
        <f t="shared" si="85"/>
        <v>0</v>
      </c>
      <c r="ED103"/>
      <c r="EE103" s="39">
        <f t="shared" si="71"/>
        <v>727408031</v>
      </c>
      <c r="EF103" s="39">
        <f t="shared" si="72"/>
        <v>143515050</v>
      </c>
      <c r="EG103"/>
    </row>
    <row r="104" spans="1:137" ht="36" hidden="1" customHeight="1" x14ac:dyDescent="0.25">
      <c r="A104" s="167"/>
      <c r="B104" s="168" t="s">
        <v>301</v>
      </c>
      <c r="C104" s="44" t="s">
        <v>302</v>
      </c>
      <c r="D104" s="18" t="s">
        <v>303</v>
      </c>
      <c r="E104" s="61">
        <v>211</v>
      </c>
      <c r="F104" s="20" t="s">
        <v>304</v>
      </c>
      <c r="G104" s="21">
        <f t="shared" si="80"/>
        <v>1526755245</v>
      </c>
      <c r="H104" s="22">
        <v>1200000000</v>
      </c>
      <c r="I104" s="22">
        <f t="shared" si="86"/>
        <v>-326755245</v>
      </c>
      <c r="J104" s="21"/>
      <c r="K104" s="21">
        <f>50000000</f>
        <v>50000000</v>
      </c>
      <c r="L104" s="21"/>
      <c r="M104" s="65">
        <f>27498356+721081879</f>
        <v>748580235</v>
      </c>
      <c r="N104" s="21"/>
      <c r="O104" s="21"/>
      <c r="P104" s="21"/>
      <c r="Q104" s="21">
        <f>65000000+50000000</f>
        <v>115000000</v>
      </c>
      <c r="R104" s="21"/>
      <c r="S104" s="21">
        <f>61385230+85161559</f>
        <v>146546789</v>
      </c>
      <c r="T104" s="21">
        <v>70000000</v>
      </c>
      <c r="U104" s="21">
        <v>266250</v>
      </c>
      <c r="V104" s="21"/>
      <c r="W104" s="21">
        <v>76223671</v>
      </c>
      <c r="X104" s="21">
        <v>10997954</v>
      </c>
      <c r="Y104" s="21"/>
      <c r="Z104" s="21"/>
      <c r="AA104" s="21">
        <v>56600000</v>
      </c>
      <c r="AB104" s="21"/>
      <c r="AC104" s="21"/>
      <c r="AD104" s="21"/>
      <c r="AE104" s="21">
        <f>954549+36000000+10000000</f>
        <v>46954549</v>
      </c>
      <c r="AF104" s="21">
        <f>110000000+70591405+4994392+20000000</f>
        <v>205585797</v>
      </c>
      <c r="AG104" s="23">
        <f t="shared" si="54"/>
        <v>8.8187675425342976E-2</v>
      </c>
      <c r="AH104" s="21">
        <f t="shared" si="40"/>
        <v>134640996</v>
      </c>
      <c r="AI104" s="21"/>
      <c r="AJ104" s="21"/>
      <c r="AK104" s="21"/>
      <c r="AL104" s="21">
        <f>+'[1]Acuerdo PLAN INVERSIÓN 2021'!$M$6951</f>
        <v>65673720</v>
      </c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>
        <f>+'[1]Acuerdo PLAN INVERSIÓN 2021'!$AE$6951</f>
        <v>44817066</v>
      </c>
      <c r="BE104" s="63">
        <f>+'[1]Acuerdo PLAN INVERSIÓN 2021'!$AF$6951</f>
        <v>24150210</v>
      </c>
      <c r="BF104" s="23">
        <f t="shared" si="57"/>
        <v>0.911812324574657</v>
      </c>
      <c r="BG104" s="21">
        <f t="shared" si="64"/>
        <v>1392114249</v>
      </c>
      <c r="BH104" s="21">
        <f t="shared" si="81"/>
        <v>0</v>
      </c>
      <c r="BI104" s="21">
        <f t="shared" si="81"/>
        <v>50000000</v>
      </c>
      <c r="BJ104" s="21">
        <f t="shared" si="81"/>
        <v>0</v>
      </c>
      <c r="BK104" s="21">
        <f t="shared" si="81"/>
        <v>682906515</v>
      </c>
      <c r="BL104" s="21">
        <f t="shared" si="81"/>
        <v>0</v>
      </c>
      <c r="BM104" s="21">
        <f t="shared" si="81"/>
        <v>0</v>
      </c>
      <c r="BN104" s="21">
        <f t="shared" si="81"/>
        <v>0</v>
      </c>
      <c r="BO104" s="21">
        <f t="shared" si="81"/>
        <v>115000000</v>
      </c>
      <c r="BP104" s="21">
        <f t="shared" si="81"/>
        <v>0</v>
      </c>
      <c r="BQ104" s="21">
        <f t="shared" si="81"/>
        <v>146546789</v>
      </c>
      <c r="BR104" s="21">
        <f t="shared" si="81"/>
        <v>70000000</v>
      </c>
      <c r="BS104" s="21">
        <f t="shared" si="81"/>
        <v>266250</v>
      </c>
      <c r="BT104" s="21">
        <f t="shared" si="81"/>
        <v>0</v>
      </c>
      <c r="BU104" s="21">
        <f t="shared" si="81"/>
        <v>76223671</v>
      </c>
      <c r="BV104" s="21">
        <f t="shared" si="81"/>
        <v>10997954</v>
      </c>
      <c r="BW104" s="21">
        <f t="shared" si="81"/>
        <v>0</v>
      </c>
      <c r="BX104" s="21">
        <f t="shared" si="82"/>
        <v>0</v>
      </c>
      <c r="BY104" s="21">
        <f t="shared" si="82"/>
        <v>56600000</v>
      </c>
      <c r="BZ104" s="21">
        <f t="shared" si="82"/>
        <v>0</v>
      </c>
      <c r="CA104" s="21">
        <f t="shared" si="82"/>
        <v>0</v>
      </c>
      <c r="CB104" s="21">
        <f t="shared" si="82"/>
        <v>0</v>
      </c>
      <c r="CC104" s="21">
        <f t="shared" si="82"/>
        <v>2137483</v>
      </c>
      <c r="CD104" s="21">
        <f t="shared" si="82"/>
        <v>181435587</v>
      </c>
      <c r="CE104" s="23">
        <f t="shared" si="55"/>
        <v>8.8187675425342976E-2</v>
      </c>
      <c r="CF104" s="21">
        <f t="shared" si="44"/>
        <v>134640996</v>
      </c>
      <c r="CG104" s="21"/>
      <c r="CH104" s="21"/>
      <c r="CI104" s="21"/>
      <c r="CJ104" s="21">
        <f>+'[1]Acuerdo PLAN INVERSIÓN 2021'!$M$6951</f>
        <v>65673720</v>
      </c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>
        <f>+'[1]Acuerdo PLAN INVERSIÓN 2021'!$AE$6951</f>
        <v>44817066</v>
      </c>
      <c r="DC104" s="63">
        <f>+'[1]Acuerdo PLAN INVERSIÓN 2021'!$AF$6951</f>
        <v>24150210</v>
      </c>
      <c r="DD104" s="23">
        <f t="shared" si="56"/>
        <v>0.911812324574657</v>
      </c>
      <c r="DE104" s="21">
        <f t="shared" si="83"/>
        <v>1392114249</v>
      </c>
      <c r="DF104" s="21">
        <f t="shared" si="84"/>
        <v>0</v>
      </c>
      <c r="DG104" s="21">
        <f t="shared" si="84"/>
        <v>50000000</v>
      </c>
      <c r="DH104" s="21">
        <f t="shared" si="84"/>
        <v>0</v>
      </c>
      <c r="DI104" s="21">
        <f t="shared" si="84"/>
        <v>682906515</v>
      </c>
      <c r="DJ104" s="21">
        <f t="shared" si="84"/>
        <v>0</v>
      </c>
      <c r="DK104" s="21">
        <f t="shared" si="84"/>
        <v>0</v>
      </c>
      <c r="DL104" s="21">
        <f t="shared" si="84"/>
        <v>0</v>
      </c>
      <c r="DM104" s="21">
        <f t="shared" si="84"/>
        <v>115000000</v>
      </c>
      <c r="DN104" s="21">
        <f t="shared" si="84"/>
        <v>0</v>
      </c>
      <c r="DO104" s="21">
        <f t="shared" si="84"/>
        <v>146546789</v>
      </c>
      <c r="DP104" s="21">
        <f t="shared" si="84"/>
        <v>70000000</v>
      </c>
      <c r="DQ104" s="21">
        <f t="shared" si="84"/>
        <v>266250</v>
      </c>
      <c r="DR104" s="21">
        <f t="shared" si="84"/>
        <v>0</v>
      </c>
      <c r="DS104" s="21">
        <f t="shared" si="84"/>
        <v>76223671</v>
      </c>
      <c r="DT104" s="21">
        <f t="shared" si="84"/>
        <v>10997954</v>
      </c>
      <c r="DU104" s="21">
        <f t="shared" si="84"/>
        <v>0</v>
      </c>
      <c r="DV104" s="21">
        <f t="shared" si="85"/>
        <v>0</v>
      </c>
      <c r="DW104" s="21">
        <f t="shared" si="85"/>
        <v>56600000</v>
      </c>
      <c r="DX104" s="21">
        <f t="shared" si="85"/>
        <v>0</v>
      </c>
      <c r="DY104" s="21">
        <f t="shared" si="85"/>
        <v>0</v>
      </c>
      <c r="DZ104" s="21">
        <f t="shared" si="85"/>
        <v>0</v>
      </c>
      <c r="EA104" s="21">
        <f t="shared" si="85"/>
        <v>2137483</v>
      </c>
      <c r="EB104" s="21">
        <f t="shared" si="85"/>
        <v>181435587</v>
      </c>
      <c r="EE104" s="39">
        <f t="shared" si="71"/>
        <v>1526755245</v>
      </c>
      <c r="EF104" s="39">
        <f t="shared" si="72"/>
        <v>134640996</v>
      </c>
    </row>
    <row r="105" spans="1:137" ht="43.5" hidden="1" customHeight="1" x14ac:dyDescent="0.25">
      <c r="A105" s="167"/>
      <c r="B105" s="168"/>
      <c r="C105" s="44" t="s">
        <v>305</v>
      </c>
      <c r="D105" s="18" t="s">
        <v>306</v>
      </c>
      <c r="E105" s="61">
        <v>211</v>
      </c>
      <c r="F105" s="20" t="s">
        <v>307</v>
      </c>
      <c r="G105" s="21">
        <f t="shared" si="80"/>
        <v>177162497</v>
      </c>
      <c r="H105" s="22">
        <v>600000000</v>
      </c>
      <c r="I105" s="22">
        <f t="shared" si="86"/>
        <v>422837503</v>
      </c>
      <c r="J105" s="41"/>
      <c r="K105" s="21">
        <f>92303390+30000000</f>
        <v>122303390</v>
      </c>
      <c r="L105" s="21"/>
      <c r="M105" s="21">
        <f>35810000</f>
        <v>35810000</v>
      </c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>
        <f>11000000+1249107+6800000</f>
        <v>19049107</v>
      </c>
      <c r="AG105" s="23">
        <f t="shared" si="54"/>
        <v>5.7680943614155537E-2</v>
      </c>
      <c r="AH105" s="21">
        <f t="shared" si="40"/>
        <v>10218900</v>
      </c>
      <c r="AI105" s="21"/>
      <c r="AJ105" s="21"/>
      <c r="AK105" s="21"/>
      <c r="AL105" s="21">
        <f>+'[1]Acuerdo PLAN INVERSIÓN 2021'!$M$7027</f>
        <v>3570000</v>
      </c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>
        <f>+'[1]Acuerdo PLAN INVERSIÓN 2021'!$AF$7027</f>
        <v>6648900</v>
      </c>
      <c r="BF105" s="23">
        <f t="shared" si="57"/>
        <v>0.94231905638584446</v>
      </c>
      <c r="BG105" s="21">
        <f t="shared" si="64"/>
        <v>166943597</v>
      </c>
      <c r="BH105" s="21">
        <f t="shared" si="81"/>
        <v>0</v>
      </c>
      <c r="BI105" s="21">
        <f t="shared" si="81"/>
        <v>122303390</v>
      </c>
      <c r="BJ105" s="21">
        <f t="shared" si="81"/>
        <v>0</v>
      </c>
      <c r="BK105" s="21">
        <f t="shared" si="81"/>
        <v>32240000</v>
      </c>
      <c r="BL105" s="21">
        <f t="shared" si="81"/>
        <v>0</v>
      </c>
      <c r="BM105" s="21">
        <f t="shared" si="81"/>
        <v>0</v>
      </c>
      <c r="BN105" s="21">
        <f t="shared" si="81"/>
        <v>0</v>
      </c>
      <c r="BO105" s="21">
        <f t="shared" si="81"/>
        <v>0</v>
      </c>
      <c r="BP105" s="21">
        <f t="shared" si="81"/>
        <v>0</v>
      </c>
      <c r="BQ105" s="21">
        <f t="shared" si="81"/>
        <v>0</v>
      </c>
      <c r="BR105" s="21">
        <f t="shared" si="81"/>
        <v>0</v>
      </c>
      <c r="BS105" s="21">
        <f t="shared" si="81"/>
        <v>0</v>
      </c>
      <c r="BT105" s="21">
        <f t="shared" si="81"/>
        <v>0</v>
      </c>
      <c r="BU105" s="21">
        <f t="shared" si="81"/>
        <v>0</v>
      </c>
      <c r="BV105" s="21">
        <f t="shared" si="81"/>
        <v>0</v>
      </c>
      <c r="BW105" s="21">
        <f t="shared" si="81"/>
        <v>0</v>
      </c>
      <c r="BX105" s="21">
        <f t="shared" si="82"/>
        <v>0</v>
      </c>
      <c r="BY105" s="21">
        <f t="shared" si="82"/>
        <v>0</v>
      </c>
      <c r="BZ105" s="21">
        <f t="shared" si="82"/>
        <v>0</v>
      </c>
      <c r="CA105" s="21">
        <f t="shared" si="82"/>
        <v>0</v>
      </c>
      <c r="CB105" s="21">
        <f t="shared" si="82"/>
        <v>0</v>
      </c>
      <c r="CC105" s="21">
        <f t="shared" si="82"/>
        <v>0</v>
      </c>
      <c r="CD105" s="21">
        <f t="shared" si="82"/>
        <v>12400207</v>
      </c>
      <c r="CE105" s="23">
        <f t="shared" si="55"/>
        <v>5.7680943614155537E-2</v>
      </c>
      <c r="CF105" s="21">
        <f t="shared" si="44"/>
        <v>10218900</v>
      </c>
      <c r="CG105" s="21"/>
      <c r="CH105" s="21"/>
      <c r="CI105" s="21"/>
      <c r="CJ105" s="21">
        <f>+'[1]Acuerdo PLAN INVERSIÓN 2021'!$M$7027</f>
        <v>3570000</v>
      </c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>
        <f>+'[1]Acuerdo PLAN INVERSIÓN 2021'!$AF$7027</f>
        <v>6648900</v>
      </c>
      <c r="DD105" s="23">
        <f t="shared" si="56"/>
        <v>0.94231905638584446</v>
      </c>
      <c r="DE105" s="21">
        <f t="shared" si="83"/>
        <v>166943597</v>
      </c>
      <c r="DF105" s="21">
        <f t="shared" si="84"/>
        <v>0</v>
      </c>
      <c r="DG105" s="21">
        <f t="shared" si="84"/>
        <v>122303390</v>
      </c>
      <c r="DH105" s="21">
        <f t="shared" si="84"/>
        <v>0</v>
      </c>
      <c r="DI105" s="21">
        <f t="shared" si="84"/>
        <v>32240000</v>
      </c>
      <c r="DJ105" s="21">
        <f t="shared" si="84"/>
        <v>0</v>
      </c>
      <c r="DK105" s="21">
        <f t="shared" si="84"/>
        <v>0</v>
      </c>
      <c r="DL105" s="21">
        <f t="shared" si="84"/>
        <v>0</v>
      </c>
      <c r="DM105" s="21">
        <f t="shared" si="84"/>
        <v>0</v>
      </c>
      <c r="DN105" s="21">
        <f t="shared" si="84"/>
        <v>0</v>
      </c>
      <c r="DO105" s="21">
        <f t="shared" si="84"/>
        <v>0</v>
      </c>
      <c r="DP105" s="21">
        <f t="shared" si="84"/>
        <v>0</v>
      </c>
      <c r="DQ105" s="21">
        <f t="shared" si="84"/>
        <v>0</v>
      </c>
      <c r="DR105" s="21">
        <f t="shared" si="84"/>
        <v>0</v>
      </c>
      <c r="DS105" s="21">
        <f t="shared" si="84"/>
        <v>0</v>
      </c>
      <c r="DT105" s="21">
        <f t="shared" si="84"/>
        <v>0</v>
      </c>
      <c r="DU105" s="21">
        <f t="shared" si="84"/>
        <v>0</v>
      </c>
      <c r="DV105" s="21">
        <f t="shared" si="85"/>
        <v>0</v>
      </c>
      <c r="DW105" s="21">
        <f t="shared" si="85"/>
        <v>0</v>
      </c>
      <c r="DX105" s="21">
        <f t="shared" si="85"/>
        <v>0</v>
      </c>
      <c r="DY105" s="21">
        <f t="shared" si="85"/>
        <v>0</v>
      </c>
      <c r="DZ105" s="21">
        <f t="shared" si="85"/>
        <v>0</v>
      </c>
      <c r="EA105" s="21">
        <f t="shared" si="85"/>
        <v>0</v>
      </c>
      <c r="EB105" s="21">
        <f t="shared" si="85"/>
        <v>12400207</v>
      </c>
      <c r="EE105" s="39">
        <f t="shared" si="71"/>
        <v>177162497</v>
      </c>
      <c r="EF105" s="39">
        <f t="shared" si="72"/>
        <v>10218900</v>
      </c>
    </row>
    <row r="106" spans="1:137" ht="30" hidden="1" customHeight="1" x14ac:dyDescent="0.25">
      <c r="A106" s="167"/>
      <c r="B106" s="168"/>
      <c r="C106" s="44" t="s">
        <v>308</v>
      </c>
      <c r="D106" s="18" t="s">
        <v>309</v>
      </c>
      <c r="E106" s="61">
        <v>211</v>
      </c>
      <c r="F106" s="20" t="s">
        <v>243</v>
      </c>
      <c r="G106" s="21">
        <f t="shared" si="80"/>
        <v>537612538</v>
      </c>
      <c r="H106" s="22">
        <v>300000000</v>
      </c>
      <c r="I106" s="22">
        <f t="shared" si="86"/>
        <v>-237612538</v>
      </c>
      <c r="J106" s="41"/>
      <c r="K106" s="21"/>
      <c r="L106" s="21"/>
      <c r="M106" s="21">
        <v>137412037</v>
      </c>
      <c r="N106" s="21"/>
      <c r="O106" s="21"/>
      <c r="P106" s="21"/>
      <c r="Q106" s="21"/>
      <c r="R106" s="21"/>
      <c r="S106" s="21"/>
      <c r="T106" s="21"/>
      <c r="U106" s="21">
        <f>10000000+300000000-35031397</f>
        <v>274968603</v>
      </c>
      <c r="V106" s="21"/>
      <c r="W106" s="21"/>
      <c r="X106" s="21"/>
      <c r="Y106" s="21"/>
      <c r="Z106" s="21"/>
      <c r="AA106" s="21"/>
      <c r="AB106" s="21"/>
      <c r="AC106" s="21">
        <f>124281898</f>
        <v>124281898</v>
      </c>
      <c r="AD106" s="21"/>
      <c r="AE106" s="21"/>
      <c r="AF106" s="21">
        <f>950000</f>
        <v>950000</v>
      </c>
      <c r="AG106" s="23">
        <f t="shared" si="54"/>
        <v>0.11178410984157516</v>
      </c>
      <c r="AH106" s="21">
        <f t="shared" si="40"/>
        <v>60096539</v>
      </c>
      <c r="AI106" s="21"/>
      <c r="AJ106" s="21"/>
      <c r="AK106" s="21"/>
      <c r="AL106" s="21">
        <f>+'[1]Acuerdo PLAN INVERSIÓN 2021'!$M$7044</f>
        <v>10132850</v>
      </c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>
        <f>+'[8]Acuerdo PLAN INVERSIÓN 2021'!$AB$5742</f>
        <v>49963689</v>
      </c>
      <c r="BC106" s="21"/>
      <c r="BD106" s="21"/>
      <c r="BE106" s="21"/>
      <c r="BF106" s="23">
        <f t="shared" si="57"/>
        <v>0.88821589015842484</v>
      </c>
      <c r="BG106" s="21">
        <f t="shared" si="64"/>
        <v>477515999</v>
      </c>
      <c r="BH106" s="21">
        <f t="shared" si="81"/>
        <v>0</v>
      </c>
      <c r="BI106" s="21">
        <f t="shared" si="81"/>
        <v>0</v>
      </c>
      <c r="BJ106" s="21">
        <f t="shared" si="81"/>
        <v>0</v>
      </c>
      <c r="BK106" s="21">
        <f t="shared" si="81"/>
        <v>127279187</v>
      </c>
      <c r="BL106" s="21">
        <f t="shared" si="81"/>
        <v>0</v>
      </c>
      <c r="BM106" s="21">
        <f t="shared" si="81"/>
        <v>0</v>
      </c>
      <c r="BN106" s="21">
        <f t="shared" si="81"/>
        <v>0</v>
      </c>
      <c r="BO106" s="21">
        <f t="shared" si="81"/>
        <v>0</v>
      </c>
      <c r="BP106" s="21">
        <f t="shared" si="81"/>
        <v>0</v>
      </c>
      <c r="BQ106" s="21">
        <f t="shared" si="81"/>
        <v>0</v>
      </c>
      <c r="BR106" s="21">
        <f t="shared" si="81"/>
        <v>0</v>
      </c>
      <c r="BS106" s="21">
        <f t="shared" si="81"/>
        <v>274968603</v>
      </c>
      <c r="BT106" s="21">
        <f t="shared" si="81"/>
        <v>0</v>
      </c>
      <c r="BU106" s="21">
        <f t="shared" si="81"/>
        <v>0</v>
      </c>
      <c r="BV106" s="21">
        <f t="shared" si="81"/>
        <v>0</v>
      </c>
      <c r="BW106" s="21">
        <f t="shared" si="81"/>
        <v>0</v>
      </c>
      <c r="BX106" s="21">
        <f t="shared" si="82"/>
        <v>0</v>
      </c>
      <c r="BY106" s="21">
        <f t="shared" si="82"/>
        <v>0</v>
      </c>
      <c r="BZ106" s="21">
        <f t="shared" si="82"/>
        <v>0</v>
      </c>
      <c r="CA106" s="21">
        <f t="shared" si="82"/>
        <v>74318209</v>
      </c>
      <c r="CB106" s="21">
        <f t="shared" si="82"/>
        <v>0</v>
      </c>
      <c r="CC106" s="21">
        <f t="shared" si="82"/>
        <v>0</v>
      </c>
      <c r="CD106" s="21">
        <f t="shared" si="82"/>
        <v>950000</v>
      </c>
      <c r="CE106" s="23">
        <f t="shared" si="55"/>
        <v>0.11178410984157516</v>
      </c>
      <c r="CF106" s="21">
        <f t="shared" si="44"/>
        <v>60096539</v>
      </c>
      <c r="CG106" s="21"/>
      <c r="CH106" s="21"/>
      <c r="CI106" s="21"/>
      <c r="CJ106" s="21">
        <f>+'[1]Acuerdo PLAN INVERSIÓN 2021'!$M$7044</f>
        <v>10132850</v>
      </c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>
        <f>+'[8]Acuerdo PLAN INVERSIÓN 2021'!$AB$5742</f>
        <v>49963689</v>
      </c>
      <c r="DA106" s="21"/>
      <c r="DB106" s="21"/>
      <c r="DC106" s="21"/>
      <c r="DD106" s="23">
        <f t="shared" si="56"/>
        <v>0.88821589015842484</v>
      </c>
      <c r="DE106" s="21">
        <f t="shared" si="83"/>
        <v>477515999</v>
      </c>
      <c r="DF106" s="21">
        <f t="shared" si="84"/>
        <v>0</v>
      </c>
      <c r="DG106" s="21">
        <f t="shared" si="84"/>
        <v>0</v>
      </c>
      <c r="DH106" s="21">
        <f t="shared" si="84"/>
        <v>0</v>
      </c>
      <c r="DI106" s="21">
        <f t="shared" si="84"/>
        <v>127279187</v>
      </c>
      <c r="DJ106" s="21">
        <f t="shared" si="84"/>
        <v>0</v>
      </c>
      <c r="DK106" s="21">
        <f t="shared" si="84"/>
        <v>0</v>
      </c>
      <c r="DL106" s="21">
        <f t="shared" si="84"/>
        <v>0</v>
      </c>
      <c r="DM106" s="21">
        <f t="shared" si="84"/>
        <v>0</v>
      </c>
      <c r="DN106" s="21">
        <f t="shared" si="84"/>
        <v>0</v>
      </c>
      <c r="DO106" s="21">
        <f t="shared" si="84"/>
        <v>0</v>
      </c>
      <c r="DP106" s="21">
        <f t="shared" si="84"/>
        <v>0</v>
      </c>
      <c r="DQ106" s="21">
        <f t="shared" si="84"/>
        <v>274968603</v>
      </c>
      <c r="DR106" s="21">
        <f t="shared" si="84"/>
        <v>0</v>
      </c>
      <c r="DS106" s="21">
        <f t="shared" si="84"/>
        <v>0</v>
      </c>
      <c r="DT106" s="21">
        <f t="shared" si="84"/>
        <v>0</v>
      </c>
      <c r="DU106" s="21">
        <f t="shared" si="84"/>
        <v>0</v>
      </c>
      <c r="DV106" s="21">
        <f t="shared" si="85"/>
        <v>0</v>
      </c>
      <c r="DW106" s="21">
        <f t="shared" si="85"/>
        <v>0</v>
      </c>
      <c r="DX106" s="21">
        <f t="shared" si="85"/>
        <v>0</v>
      </c>
      <c r="DY106" s="21">
        <f t="shared" si="85"/>
        <v>74318209</v>
      </c>
      <c r="DZ106" s="21">
        <f t="shared" si="85"/>
        <v>0</v>
      </c>
      <c r="EA106" s="21">
        <f t="shared" si="85"/>
        <v>0</v>
      </c>
      <c r="EB106" s="21">
        <f t="shared" si="85"/>
        <v>950000</v>
      </c>
      <c r="ED106" s="136" t="s">
        <v>385</v>
      </c>
      <c r="EE106" s="39">
        <f t="shared" si="71"/>
        <v>537612538</v>
      </c>
      <c r="EF106" s="39">
        <f t="shared" si="72"/>
        <v>60096539</v>
      </c>
    </row>
    <row r="107" spans="1:137" ht="28.2" hidden="1" customHeight="1" x14ac:dyDescent="0.25">
      <c r="A107" s="48"/>
      <c r="B107" s="168"/>
      <c r="C107" s="44" t="s">
        <v>310</v>
      </c>
      <c r="D107" s="18" t="s">
        <v>311</v>
      </c>
      <c r="E107" s="61">
        <v>211</v>
      </c>
      <c r="F107" s="20" t="s">
        <v>243</v>
      </c>
      <c r="G107" s="21">
        <f t="shared" si="80"/>
        <v>2783401112</v>
      </c>
      <c r="H107" s="22">
        <v>1500000000</v>
      </c>
      <c r="I107" s="22">
        <f t="shared" si="86"/>
        <v>-1283401112</v>
      </c>
      <c r="J107" s="21"/>
      <c r="K107" s="21"/>
      <c r="L107" s="21"/>
      <c r="M107" s="21">
        <f>10128485+2676241230</f>
        <v>2686369715</v>
      </c>
      <c r="N107" s="21"/>
      <c r="O107" s="21"/>
      <c r="P107" s="21"/>
      <c r="Q107" s="21">
        <f>100000000-65000000</f>
        <v>35000000</v>
      </c>
      <c r="R107" s="21"/>
      <c r="S107" s="21"/>
      <c r="T107" s="21"/>
      <c r="U107" s="21">
        <f>20000000+35031397</f>
        <v>55031397</v>
      </c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>
        <f>7000000</f>
        <v>7000000</v>
      </c>
      <c r="AG107" s="23">
        <f t="shared" si="54"/>
        <v>0.42028008538066575</v>
      </c>
      <c r="AH107" s="21">
        <f t="shared" si="40"/>
        <v>1169808057</v>
      </c>
      <c r="AI107" s="21"/>
      <c r="AJ107" s="21"/>
      <c r="AK107" s="21"/>
      <c r="AL107" s="21">
        <f>+'[1]Acuerdo PLAN INVERSIÓN 2021'!$M$7070</f>
        <v>1073529050</v>
      </c>
      <c r="AM107" s="21"/>
      <c r="AN107" s="21"/>
      <c r="AO107" s="21"/>
      <c r="AP107" s="21">
        <f>+'[1]Acuerdo PLAN INVERSIÓN 2021'!$S$7070</f>
        <v>35000000</v>
      </c>
      <c r="AQ107" s="21"/>
      <c r="AR107" s="21"/>
      <c r="AS107" s="21"/>
      <c r="AT107" s="21">
        <f>+'[3]Acuerdo PLAN INVERSIÓN 2021'!$O$4807</f>
        <v>54980000</v>
      </c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>
        <f>+'[1]Acuerdo PLAN INVERSIÓN 2021'!$AF$7070</f>
        <v>6299007</v>
      </c>
      <c r="BF107" s="23">
        <f t="shared" si="57"/>
        <v>0.57971991461933425</v>
      </c>
      <c r="BG107" s="21">
        <f t="shared" si="64"/>
        <v>1613593055</v>
      </c>
      <c r="BH107" s="21">
        <f t="shared" si="81"/>
        <v>0</v>
      </c>
      <c r="BI107" s="21">
        <f t="shared" si="81"/>
        <v>0</v>
      </c>
      <c r="BJ107" s="21">
        <f t="shared" si="81"/>
        <v>0</v>
      </c>
      <c r="BK107" s="21">
        <f t="shared" si="81"/>
        <v>1612840665</v>
      </c>
      <c r="BL107" s="21">
        <f t="shared" si="81"/>
        <v>0</v>
      </c>
      <c r="BM107" s="21">
        <f t="shared" si="81"/>
        <v>0</v>
      </c>
      <c r="BN107" s="21">
        <f t="shared" si="81"/>
        <v>0</v>
      </c>
      <c r="BO107" s="21">
        <f t="shared" si="81"/>
        <v>0</v>
      </c>
      <c r="BP107" s="21">
        <f t="shared" si="81"/>
        <v>0</v>
      </c>
      <c r="BQ107" s="21">
        <f t="shared" si="81"/>
        <v>0</v>
      </c>
      <c r="BR107" s="21">
        <f t="shared" si="81"/>
        <v>0</v>
      </c>
      <c r="BS107" s="21">
        <f t="shared" si="81"/>
        <v>51397</v>
      </c>
      <c r="BT107" s="21">
        <f t="shared" si="81"/>
        <v>0</v>
      </c>
      <c r="BU107" s="21">
        <f t="shared" si="81"/>
        <v>0</v>
      </c>
      <c r="BV107" s="21">
        <f t="shared" si="81"/>
        <v>0</v>
      </c>
      <c r="BW107" s="21">
        <f t="shared" si="81"/>
        <v>0</v>
      </c>
      <c r="BX107" s="21">
        <f t="shared" si="82"/>
        <v>0</v>
      </c>
      <c r="BY107" s="21">
        <f t="shared" si="82"/>
        <v>0</v>
      </c>
      <c r="BZ107" s="21">
        <f t="shared" si="82"/>
        <v>0</v>
      </c>
      <c r="CA107" s="21">
        <f t="shared" si="82"/>
        <v>0</v>
      </c>
      <c r="CB107" s="21">
        <f t="shared" si="82"/>
        <v>0</v>
      </c>
      <c r="CC107" s="21">
        <f t="shared" si="82"/>
        <v>0</v>
      </c>
      <c r="CD107" s="21">
        <f t="shared" si="82"/>
        <v>700993</v>
      </c>
      <c r="CE107" s="23">
        <f t="shared" si="55"/>
        <v>0.42028008538066575</v>
      </c>
      <c r="CF107" s="21">
        <f t="shared" si="44"/>
        <v>1169808057</v>
      </c>
      <c r="CG107" s="21"/>
      <c r="CH107" s="21"/>
      <c r="CI107" s="21"/>
      <c r="CJ107" s="21">
        <f>+'[1]Acuerdo PLAN INVERSIÓN 2021'!$M$7070</f>
        <v>1073529050</v>
      </c>
      <c r="CK107" s="21"/>
      <c r="CL107" s="21"/>
      <c r="CM107" s="21"/>
      <c r="CN107" s="21">
        <f>+'[1]Acuerdo PLAN INVERSIÓN 2021'!$S$7070</f>
        <v>35000000</v>
      </c>
      <c r="CO107" s="21"/>
      <c r="CP107" s="21"/>
      <c r="CQ107" s="21"/>
      <c r="CR107" s="21">
        <f>+'[3]Acuerdo PLAN INVERSIÓN 2021'!$O$4807</f>
        <v>54980000</v>
      </c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>
        <f>+'[1]Acuerdo PLAN INVERSIÓN 2021'!$AF$7070</f>
        <v>6299007</v>
      </c>
      <c r="DD107" s="23">
        <f t="shared" si="56"/>
        <v>0.57971991461933425</v>
      </c>
      <c r="DE107" s="21">
        <f t="shared" si="83"/>
        <v>1613593055</v>
      </c>
      <c r="DF107" s="21">
        <f t="shared" si="84"/>
        <v>0</v>
      </c>
      <c r="DG107" s="21">
        <f t="shared" si="84"/>
        <v>0</v>
      </c>
      <c r="DH107" s="21">
        <f t="shared" si="84"/>
        <v>0</v>
      </c>
      <c r="DI107" s="21">
        <f t="shared" si="84"/>
        <v>1612840665</v>
      </c>
      <c r="DJ107" s="21">
        <f t="shared" si="84"/>
        <v>0</v>
      </c>
      <c r="DK107" s="21">
        <f t="shared" si="84"/>
        <v>0</v>
      </c>
      <c r="DL107" s="21">
        <f t="shared" si="84"/>
        <v>0</v>
      </c>
      <c r="DM107" s="21">
        <f t="shared" si="84"/>
        <v>0</v>
      </c>
      <c r="DN107" s="21">
        <f t="shared" si="84"/>
        <v>0</v>
      </c>
      <c r="DO107" s="21">
        <f t="shared" si="84"/>
        <v>0</v>
      </c>
      <c r="DP107" s="21">
        <f t="shared" si="84"/>
        <v>0</v>
      </c>
      <c r="DQ107" s="21">
        <f t="shared" si="84"/>
        <v>51397</v>
      </c>
      <c r="DR107" s="21">
        <f t="shared" si="84"/>
        <v>0</v>
      </c>
      <c r="DS107" s="21">
        <f t="shared" si="84"/>
        <v>0</v>
      </c>
      <c r="DT107" s="21">
        <f t="shared" si="84"/>
        <v>0</v>
      </c>
      <c r="DU107" s="21">
        <f t="shared" si="84"/>
        <v>0</v>
      </c>
      <c r="DV107" s="21">
        <f t="shared" si="85"/>
        <v>0</v>
      </c>
      <c r="DW107" s="21">
        <f t="shared" si="85"/>
        <v>0</v>
      </c>
      <c r="DX107" s="21">
        <f t="shared" si="85"/>
        <v>0</v>
      </c>
      <c r="DY107" s="21">
        <f t="shared" si="85"/>
        <v>0</v>
      </c>
      <c r="DZ107" s="21">
        <f t="shared" si="85"/>
        <v>0</v>
      </c>
      <c r="EA107" s="21">
        <f t="shared" si="85"/>
        <v>0</v>
      </c>
      <c r="EB107" s="21">
        <f t="shared" si="85"/>
        <v>700993</v>
      </c>
      <c r="ED107" s="136" t="s">
        <v>385</v>
      </c>
      <c r="EE107" s="39">
        <f t="shared" si="71"/>
        <v>2783401112</v>
      </c>
      <c r="EF107" s="39">
        <f t="shared" si="72"/>
        <v>1169808057</v>
      </c>
    </row>
    <row r="108" spans="1:137" ht="30" hidden="1" customHeight="1" x14ac:dyDescent="0.25">
      <c r="A108" s="48"/>
      <c r="B108" s="168"/>
      <c r="C108" s="44" t="s">
        <v>312</v>
      </c>
      <c r="D108" s="18" t="s">
        <v>313</v>
      </c>
      <c r="E108" s="61">
        <v>211</v>
      </c>
      <c r="F108" s="20" t="s">
        <v>243</v>
      </c>
      <c r="G108" s="21">
        <f t="shared" si="80"/>
        <v>299954928</v>
      </c>
      <c r="H108" s="22">
        <v>340000000</v>
      </c>
      <c r="I108" s="22">
        <f t="shared" si="86"/>
        <v>40045072</v>
      </c>
      <c r="J108" s="41"/>
      <c r="K108" s="21">
        <f>43951027+30000000</f>
        <v>73951027</v>
      </c>
      <c r="L108" s="21"/>
      <c r="M108" s="21">
        <f>27680700+178323201</f>
        <v>206003901</v>
      </c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>
        <f>20000000</f>
        <v>20000000</v>
      </c>
      <c r="AG108" s="23">
        <f t="shared" si="54"/>
        <v>0.35344783866994844</v>
      </c>
      <c r="AH108" s="21">
        <f t="shared" si="40"/>
        <v>106018421</v>
      </c>
      <c r="AI108" s="21"/>
      <c r="AJ108" s="21"/>
      <c r="AK108" s="21"/>
      <c r="AL108" s="21">
        <f>+'[1]Acuerdo PLAN INVERSIÓN 2021'!$M$7128</f>
        <v>87868744</v>
      </c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>
        <f>+'[1]Acuerdo PLAN INVERSIÓN 2021'!$AF$7128</f>
        <v>18149677</v>
      </c>
      <c r="BF108" s="23">
        <f t="shared" si="57"/>
        <v>0.64655216133005156</v>
      </c>
      <c r="BG108" s="21">
        <f t="shared" si="64"/>
        <v>193936507</v>
      </c>
      <c r="BH108" s="21">
        <f t="shared" si="81"/>
        <v>0</v>
      </c>
      <c r="BI108" s="21">
        <f t="shared" si="81"/>
        <v>73951027</v>
      </c>
      <c r="BJ108" s="21">
        <f t="shared" si="81"/>
        <v>0</v>
      </c>
      <c r="BK108" s="21">
        <f t="shared" si="81"/>
        <v>118135157</v>
      </c>
      <c r="BL108" s="21">
        <f t="shared" si="81"/>
        <v>0</v>
      </c>
      <c r="BM108" s="21">
        <f t="shared" si="81"/>
        <v>0</v>
      </c>
      <c r="BN108" s="21">
        <f t="shared" si="81"/>
        <v>0</v>
      </c>
      <c r="BO108" s="21">
        <f t="shared" si="81"/>
        <v>0</v>
      </c>
      <c r="BP108" s="21">
        <f t="shared" si="81"/>
        <v>0</v>
      </c>
      <c r="BQ108" s="21">
        <f t="shared" si="81"/>
        <v>0</v>
      </c>
      <c r="BR108" s="21">
        <f t="shared" si="81"/>
        <v>0</v>
      </c>
      <c r="BS108" s="21">
        <f t="shared" si="81"/>
        <v>0</v>
      </c>
      <c r="BT108" s="21">
        <f t="shared" si="81"/>
        <v>0</v>
      </c>
      <c r="BU108" s="21">
        <f t="shared" si="81"/>
        <v>0</v>
      </c>
      <c r="BV108" s="21">
        <f t="shared" si="81"/>
        <v>0</v>
      </c>
      <c r="BW108" s="21">
        <f t="shared" si="81"/>
        <v>0</v>
      </c>
      <c r="BX108" s="21">
        <f t="shared" si="82"/>
        <v>0</v>
      </c>
      <c r="BY108" s="21">
        <f t="shared" si="82"/>
        <v>0</v>
      </c>
      <c r="BZ108" s="21">
        <f t="shared" si="82"/>
        <v>0</v>
      </c>
      <c r="CA108" s="21">
        <f t="shared" si="82"/>
        <v>0</v>
      </c>
      <c r="CB108" s="21">
        <f t="shared" si="82"/>
        <v>0</v>
      </c>
      <c r="CC108" s="21">
        <f t="shared" si="82"/>
        <v>0</v>
      </c>
      <c r="CD108" s="21">
        <f t="shared" si="82"/>
        <v>1850323</v>
      </c>
      <c r="CE108" s="23">
        <f t="shared" si="55"/>
        <v>0.35344783866994844</v>
      </c>
      <c r="CF108" s="21">
        <f t="shared" si="44"/>
        <v>106018421</v>
      </c>
      <c r="CG108" s="21"/>
      <c r="CH108" s="21"/>
      <c r="CI108" s="21"/>
      <c r="CJ108" s="21">
        <f>+'[1]Acuerdo PLAN INVERSIÓN 2021'!$M$7128</f>
        <v>87868744</v>
      </c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>
        <f>+'[1]Acuerdo PLAN INVERSIÓN 2021'!$AF$7128</f>
        <v>18149677</v>
      </c>
      <c r="DD108" s="23">
        <f t="shared" si="56"/>
        <v>0.64655216133005156</v>
      </c>
      <c r="DE108" s="21">
        <f t="shared" si="83"/>
        <v>193936507</v>
      </c>
      <c r="DF108" s="21">
        <f t="shared" si="84"/>
        <v>0</v>
      </c>
      <c r="DG108" s="21">
        <f t="shared" si="84"/>
        <v>73951027</v>
      </c>
      <c r="DH108" s="21">
        <f t="shared" si="84"/>
        <v>0</v>
      </c>
      <c r="DI108" s="21">
        <f t="shared" si="84"/>
        <v>118135157</v>
      </c>
      <c r="DJ108" s="21">
        <f t="shared" si="84"/>
        <v>0</v>
      </c>
      <c r="DK108" s="21">
        <f t="shared" si="84"/>
        <v>0</v>
      </c>
      <c r="DL108" s="21">
        <f t="shared" si="84"/>
        <v>0</v>
      </c>
      <c r="DM108" s="21">
        <f t="shared" si="84"/>
        <v>0</v>
      </c>
      <c r="DN108" s="21">
        <f t="shared" si="84"/>
        <v>0</v>
      </c>
      <c r="DO108" s="21">
        <f t="shared" si="84"/>
        <v>0</v>
      </c>
      <c r="DP108" s="21">
        <f t="shared" si="84"/>
        <v>0</v>
      </c>
      <c r="DQ108" s="21">
        <f t="shared" si="84"/>
        <v>0</v>
      </c>
      <c r="DR108" s="21">
        <f t="shared" si="84"/>
        <v>0</v>
      </c>
      <c r="DS108" s="21">
        <f t="shared" si="84"/>
        <v>0</v>
      </c>
      <c r="DT108" s="21">
        <f t="shared" si="84"/>
        <v>0</v>
      </c>
      <c r="DU108" s="21">
        <f t="shared" si="84"/>
        <v>0</v>
      </c>
      <c r="DV108" s="21">
        <f t="shared" si="85"/>
        <v>0</v>
      </c>
      <c r="DW108" s="21">
        <f t="shared" si="85"/>
        <v>0</v>
      </c>
      <c r="DX108" s="21">
        <f t="shared" si="85"/>
        <v>0</v>
      </c>
      <c r="DY108" s="21">
        <f t="shared" si="85"/>
        <v>0</v>
      </c>
      <c r="DZ108" s="21">
        <f t="shared" si="85"/>
        <v>0</v>
      </c>
      <c r="EA108" s="21">
        <f t="shared" si="85"/>
        <v>0</v>
      </c>
      <c r="EB108" s="21">
        <f t="shared" si="85"/>
        <v>1850323</v>
      </c>
      <c r="EE108" s="39">
        <f t="shared" si="71"/>
        <v>299954928</v>
      </c>
      <c r="EF108" s="39">
        <f t="shared" si="72"/>
        <v>106018421</v>
      </c>
    </row>
    <row r="109" spans="1:137" ht="30.6" hidden="1" customHeight="1" x14ac:dyDescent="0.25">
      <c r="A109" s="167" t="s">
        <v>314</v>
      </c>
      <c r="B109" s="168"/>
      <c r="C109" s="44" t="s">
        <v>315</v>
      </c>
      <c r="D109" s="18" t="s">
        <v>316</v>
      </c>
      <c r="E109" s="61">
        <v>211</v>
      </c>
      <c r="F109" s="20" t="s">
        <v>243</v>
      </c>
      <c r="G109" s="21">
        <f t="shared" si="80"/>
        <v>519100131</v>
      </c>
      <c r="H109" s="22">
        <v>270000000</v>
      </c>
      <c r="I109" s="22">
        <f t="shared" si="86"/>
        <v>-249100131</v>
      </c>
      <c r="J109" s="21"/>
      <c r="K109" s="21"/>
      <c r="L109" s="21"/>
      <c r="M109" s="21">
        <f>972070+498128061</f>
        <v>499100131</v>
      </c>
      <c r="N109" s="21"/>
      <c r="O109" s="21"/>
      <c r="P109" s="21"/>
      <c r="Q109" s="21">
        <f>50000000-50000000</f>
        <v>0</v>
      </c>
      <c r="R109" s="21"/>
      <c r="S109" s="21"/>
      <c r="T109" s="21"/>
      <c r="U109" s="21">
        <v>20000000</v>
      </c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3">
        <f t="shared" si="54"/>
        <v>0.47160304607975528</v>
      </c>
      <c r="AH109" s="21">
        <f t="shared" si="40"/>
        <v>244809203</v>
      </c>
      <c r="AI109" s="21"/>
      <c r="AJ109" s="21"/>
      <c r="AK109" s="21"/>
      <c r="AL109" s="21">
        <f>+'[1]Acuerdo PLAN INVERSIÓN 2021'!$M$7166</f>
        <v>244809203</v>
      </c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3">
        <f t="shared" si="57"/>
        <v>0.52839695392024466</v>
      </c>
      <c r="BG109" s="21">
        <f t="shared" si="64"/>
        <v>274290928</v>
      </c>
      <c r="BH109" s="21">
        <f t="shared" si="81"/>
        <v>0</v>
      </c>
      <c r="BI109" s="21">
        <f t="shared" si="81"/>
        <v>0</v>
      </c>
      <c r="BJ109" s="21">
        <f t="shared" si="81"/>
        <v>0</v>
      </c>
      <c r="BK109" s="21">
        <f t="shared" si="81"/>
        <v>254290928</v>
      </c>
      <c r="BL109" s="21">
        <f t="shared" si="81"/>
        <v>0</v>
      </c>
      <c r="BM109" s="21">
        <f t="shared" si="81"/>
        <v>0</v>
      </c>
      <c r="BN109" s="21">
        <f t="shared" si="81"/>
        <v>0</v>
      </c>
      <c r="BO109" s="21">
        <f t="shared" si="81"/>
        <v>0</v>
      </c>
      <c r="BP109" s="21">
        <f t="shared" si="81"/>
        <v>0</v>
      </c>
      <c r="BQ109" s="21">
        <f t="shared" si="81"/>
        <v>0</v>
      </c>
      <c r="BR109" s="21">
        <f t="shared" si="81"/>
        <v>0</v>
      </c>
      <c r="BS109" s="21">
        <f t="shared" si="81"/>
        <v>20000000</v>
      </c>
      <c r="BT109" s="21">
        <f t="shared" si="81"/>
        <v>0</v>
      </c>
      <c r="BU109" s="21">
        <f t="shared" si="81"/>
        <v>0</v>
      </c>
      <c r="BV109" s="21">
        <f t="shared" si="81"/>
        <v>0</v>
      </c>
      <c r="BW109" s="21">
        <f t="shared" si="81"/>
        <v>0</v>
      </c>
      <c r="BX109" s="21">
        <f t="shared" si="82"/>
        <v>0</v>
      </c>
      <c r="BY109" s="21">
        <f t="shared" si="82"/>
        <v>0</v>
      </c>
      <c r="BZ109" s="21">
        <f t="shared" si="82"/>
        <v>0</v>
      </c>
      <c r="CA109" s="21">
        <f t="shared" si="82"/>
        <v>0</v>
      </c>
      <c r="CB109" s="21">
        <f t="shared" si="82"/>
        <v>0</v>
      </c>
      <c r="CC109" s="21">
        <f t="shared" si="82"/>
        <v>0</v>
      </c>
      <c r="CD109" s="21">
        <f t="shared" si="82"/>
        <v>0</v>
      </c>
      <c r="CE109" s="23">
        <f t="shared" si="55"/>
        <v>0.47160304607975528</v>
      </c>
      <c r="CF109" s="21">
        <f t="shared" si="44"/>
        <v>244809203</v>
      </c>
      <c r="CG109" s="21"/>
      <c r="CH109" s="21"/>
      <c r="CI109" s="21"/>
      <c r="CJ109" s="21">
        <f>+'[1]Acuerdo PLAN INVERSIÓN 2021'!$M$7166</f>
        <v>244809203</v>
      </c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3">
        <f t="shared" si="56"/>
        <v>0.52839695392024466</v>
      </c>
      <c r="DE109" s="21">
        <f t="shared" si="83"/>
        <v>274290928</v>
      </c>
      <c r="DF109" s="21">
        <f t="shared" si="84"/>
        <v>0</v>
      </c>
      <c r="DG109" s="21">
        <f t="shared" si="84"/>
        <v>0</v>
      </c>
      <c r="DH109" s="21">
        <f t="shared" si="84"/>
        <v>0</v>
      </c>
      <c r="DI109" s="21">
        <f t="shared" si="84"/>
        <v>254290928</v>
      </c>
      <c r="DJ109" s="21">
        <f t="shared" si="84"/>
        <v>0</v>
      </c>
      <c r="DK109" s="21">
        <f t="shared" si="84"/>
        <v>0</v>
      </c>
      <c r="DL109" s="21">
        <f t="shared" si="84"/>
        <v>0</v>
      </c>
      <c r="DM109" s="21">
        <f t="shared" si="84"/>
        <v>0</v>
      </c>
      <c r="DN109" s="21">
        <f t="shared" si="84"/>
        <v>0</v>
      </c>
      <c r="DO109" s="21">
        <f t="shared" si="84"/>
        <v>0</v>
      </c>
      <c r="DP109" s="21">
        <f t="shared" si="84"/>
        <v>0</v>
      </c>
      <c r="DQ109" s="21">
        <f t="shared" si="84"/>
        <v>20000000</v>
      </c>
      <c r="DR109" s="21">
        <f t="shared" si="84"/>
        <v>0</v>
      </c>
      <c r="DS109" s="21">
        <f t="shared" si="84"/>
        <v>0</v>
      </c>
      <c r="DT109" s="21">
        <f t="shared" si="84"/>
        <v>0</v>
      </c>
      <c r="DU109" s="21">
        <f t="shared" si="84"/>
        <v>0</v>
      </c>
      <c r="DV109" s="21">
        <f t="shared" si="85"/>
        <v>0</v>
      </c>
      <c r="DW109" s="21">
        <f t="shared" si="85"/>
        <v>0</v>
      </c>
      <c r="DX109" s="21">
        <f t="shared" si="85"/>
        <v>0</v>
      </c>
      <c r="DY109" s="21">
        <f t="shared" si="85"/>
        <v>0</v>
      </c>
      <c r="DZ109" s="21">
        <f t="shared" si="85"/>
        <v>0</v>
      </c>
      <c r="EA109" s="21">
        <f t="shared" si="85"/>
        <v>0</v>
      </c>
      <c r="EB109" s="21">
        <f t="shared" si="85"/>
        <v>0</v>
      </c>
      <c r="ED109" s="64"/>
      <c r="EE109" s="39">
        <f t="shared" si="71"/>
        <v>519100131</v>
      </c>
      <c r="EF109" s="39">
        <f t="shared" si="72"/>
        <v>244809203</v>
      </c>
    </row>
    <row r="110" spans="1:137" ht="47.25" hidden="1" customHeight="1" x14ac:dyDescent="0.25">
      <c r="A110" s="167"/>
      <c r="B110" s="168"/>
      <c r="C110" s="44" t="s">
        <v>317</v>
      </c>
      <c r="D110" s="18" t="s">
        <v>318</v>
      </c>
      <c r="E110" s="61">
        <v>211</v>
      </c>
      <c r="F110" s="20" t="s">
        <v>319</v>
      </c>
      <c r="G110" s="21">
        <f t="shared" si="80"/>
        <v>459373195</v>
      </c>
      <c r="H110" s="22">
        <v>1955000000</v>
      </c>
      <c r="I110" s="22">
        <f t="shared" si="86"/>
        <v>1495626805</v>
      </c>
      <c r="J110" s="21">
        <v>228749467</v>
      </c>
      <c r="K110" s="21">
        <f>50000000-50000000</f>
        <v>0</v>
      </c>
      <c r="L110" s="21"/>
      <c r="M110" s="21">
        <v>32862151</v>
      </c>
      <c r="N110" s="21"/>
      <c r="O110" s="21"/>
      <c r="P110" s="21"/>
      <c r="Q110" s="21"/>
      <c r="R110" s="21"/>
      <c r="S110" s="21">
        <v>100000000</v>
      </c>
      <c r="T110" s="21"/>
      <c r="U110" s="21"/>
      <c r="V110" s="21"/>
      <c r="W110" s="21"/>
      <c r="X110" s="21"/>
      <c r="Y110" s="21"/>
      <c r="Z110" s="21"/>
      <c r="AA110" s="21">
        <v>56261577</v>
      </c>
      <c r="AB110" s="21"/>
      <c r="AC110" s="21"/>
      <c r="AD110" s="21"/>
      <c r="AE110" s="21"/>
      <c r="AF110" s="21">
        <f>40000000+20000000+1500000+10800000-20000000-10800000</f>
        <v>41500000</v>
      </c>
      <c r="AG110" s="23">
        <f t="shared" si="54"/>
        <v>4.6672292230721037E-2</v>
      </c>
      <c r="AH110" s="21">
        <f t="shared" si="40"/>
        <v>21440000</v>
      </c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>
        <f>+'[1]Acuerdo PLAN INVERSIÓN 2021'!$AF$7184</f>
        <v>21440000</v>
      </c>
      <c r="BF110" s="23">
        <f t="shared" si="57"/>
        <v>0.953327707769279</v>
      </c>
      <c r="BG110" s="21">
        <f t="shared" si="64"/>
        <v>437933195</v>
      </c>
      <c r="BH110" s="21">
        <f t="shared" si="81"/>
        <v>228749467</v>
      </c>
      <c r="BI110" s="21">
        <f t="shared" si="81"/>
        <v>0</v>
      </c>
      <c r="BJ110" s="21">
        <f t="shared" si="81"/>
        <v>0</v>
      </c>
      <c r="BK110" s="21">
        <f t="shared" si="81"/>
        <v>32862151</v>
      </c>
      <c r="BL110" s="21">
        <f t="shared" si="81"/>
        <v>0</v>
      </c>
      <c r="BM110" s="21">
        <f t="shared" si="81"/>
        <v>0</v>
      </c>
      <c r="BN110" s="21">
        <f t="shared" si="81"/>
        <v>0</v>
      </c>
      <c r="BO110" s="21">
        <f t="shared" si="81"/>
        <v>0</v>
      </c>
      <c r="BP110" s="21">
        <f t="shared" si="81"/>
        <v>0</v>
      </c>
      <c r="BQ110" s="21">
        <f t="shared" si="81"/>
        <v>100000000</v>
      </c>
      <c r="BR110" s="21">
        <f t="shared" si="81"/>
        <v>0</v>
      </c>
      <c r="BS110" s="21">
        <f t="shared" si="81"/>
        <v>0</v>
      </c>
      <c r="BT110" s="21">
        <f t="shared" si="81"/>
        <v>0</v>
      </c>
      <c r="BU110" s="21">
        <f t="shared" si="81"/>
        <v>0</v>
      </c>
      <c r="BV110" s="21">
        <f t="shared" si="81"/>
        <v>0</v>
      </c>
      <c r="BW110" s="21">
        <f t="shared" si="81"/>
        <v>0</v>
      </c>
      <c r="BX110" s="21">
        <f t="shared" si="82"/>
        <v>0</v>
      </c>
      <c r="BY110" s="21">
        <f t="shared" si="82"/>
        <v>56261577</v>
      </c>
      <c r="BZ110" s="21">
        <f t="shared" si="82"/>
        <v>0</v>
      </c>
      <c r="CA110" s="21">
        <f t="shared" si="82"/>
        <v>0</v>
      </c>
      <c r="CB110" s="21">
        <f t="shared" si="82"/>
        <v>0</v>
      </c>
      <c r="CC110" s="21">
        <f t="shared" si="82"/>
        <v>0</v>
      </c>
      <c r="CD110" s="21">
        <f t="shared" si="82"/>
        <v>20060000</v>
      </c>
      <c r="CE110" s="23">
        <f t="shared" si="55"/>
        <v>4.6672292230721037E-2</v>
      </c>
      <c r="CF110" s="21">
        <f t="shared" si="44"/>
        <v>21440000</v>
      </c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>
        <f>+'[1]Acuerdo PLAN INVERSIÓN 2021'!$AF$7184</f>
        <v>21440000</v>
      </c>
      <c r="DD110" s="23">
        <f t="shared" si="56"/>
        <v>0.953327707769279</v>
      </c>
      <c r="DE110" s="21">
        <f t="shared" si="83"/>
        <v>437933195</v>
      </c>
      <c r="DF110" s="21">
        <f t="shared" si="84"/>
        <v>228749467</v>
      </c>
      <c r="DG110" s="21">
        <f t="shared" si="84"/>
        <v>0</v>
      </c>
      <c r="DH110" s="21">
        <f t="shared" si="84"/>
        <v>0</v>
      </c>
      <c r="DI110" s="21">
        <f t="shared" si="84"/>
        <v>32862151</v>
      </c>
      <c r="DJ110" s="21">
        <f t="shared" si="84"/>
        <v>0</v>
      </c>
      <c r="DK110" s="21">
        <f t="shared" si="84"/>
        <v>0</v>
      </c>
      <c r="DL110" s="21">
        <f t="shared" si="84"/>
        <v>0</v>
      </c>
      <c r="DM110" s="21">
        <f t="shared" si="84"/>
        <v>0</v>
      </c>
      <c r="DN110" s="21">
        <f t="shared" si="84"/>
        <v>0</v>
      </c>
      <c r="DO110" s="21">
        <f t="shared" si="84"/>
        <v>100000000</v>
      </c>
      <c r="DP110" s="21">
        <f t="shared" si="84"/>
        <v>0</v>
      </c>
      <c r="DQ110" s="21">
        <f t="shared" si="84"/>
        <v>0</v>
      </c>
      <c r="DR110" s="21">
        <f t="shared" si="84"/>
        <v>0</v>
      </c>
      <c r="DS110" s="21">
        <f t="shared" si="84"/>
        <v>0</v>
      </c>
      <c r="DT110" s="21">
        <f t="shared" si="84"/>
        <v>0</v>
      </c>
      <c r="DU110" s="21">
        <f t="shared" si="84"/>
        <v>0</v>
      </c>
      <c r="DV110" s="21">
        <f t="shared" si="85"/>
        <v>0</v>
      </c>
      <c r="DW110" s="21">
        <f t="shared" si="85"/>
        <v>56261577</v>
      </c>
      <c r="DX110" s="21">
        <f t="shared" si="85"/>
        <v>0</v>
      </c>
      <c r="DY110" s="21">
        <f t="shared" si="85"/>
        <v>0</v>
      </c>
      <c r="DZ110" s="21">
        <f t="shared" si="85"/>
        <v>0</v>
      </c>
      <c r="EA110" s="21">
        <f t="shared" si="85"/>
        <v>0</v>
      </c>
      <c r="EB110" s="21">
        <f t="shared" si="85"/>
        <v>20060000</v>
      </c>
      <c r="EE110" s="39">
        <f t="shared" si="71"/>
        <v>459373195</v>
      </c>
      <c r="EF110" s="39">
        <f t="shared" si="72"/>
        <v>21440000</v>
      </c>
    </row>
    <row r="111" spans="1:137" ht="20.399999999999999" hidden="1" customHeight="1" x14ac:dyDescent="0.25">
      <c r="A111" s="167"/>
      <c r="B111" s="168"/>
      <c r="C111" s="44" t="s">
        <v>320</v>
      </c>
      <c r="D111" s="18" t="s">
        <v>321</v>
      </c>
      <c r="E111" s="61">
        <v>211</v>
      </c>
      <c r="F111" s="20" t="s">
        <v>243</v>
      </c>
      <c r="G111" s="21">
        <f t="shared" si="80"/>
        <v>0</v>
      </c>
      <c r="H111" s="22">
        <v>100000000</v>
      </c>
      <c r="I111" s="22">
        <f t="shared" si="86"/>
        <v>100000000</v>
      </c>
      <c r="J111" s="4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3" t="e">
        <f t="shared" si="54"/>
        <v>#DIV/0!</v>
      </c>
      <c r="AH111" s="21">
        <f t="shared" si="40"/>
        <v>0</v>
      </c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3" t="e">
        <f t="shared" si="57"/>
        <v>#DIV/0!</v>
      </c>
      <c r="BG111" s="21">
        <f t="shared" si="64"/>
        <v>0</v>
      </c>
      <c r="BH111" s="21">
        <f t="shared" si="81"/>
        <v>0</v>
      </c>
      <c r="BI111" s="21">
        <f t="shared" si="81"/>
        <v>0</v>
      </c>
      <c r="BJ111" s="21">
        <f t="shared" si="81"/>
        <v>0</v>
      </c>
      <c r="BK111" s="21">
        <f t="shared" si="81"/>
        <v>0</v>
      </c>
      <c r="BL111" s="21">
        <f t="shared" si="81"/>
        <v>0</v>
      </c>
      <c r="BM111" s="21">
        <f t="shared" si="81"/>
        <v>0</v>
      </c>
      <c r="BN111" s="21">
        <f t="shared" si="81"/>
        <v>0</v>
      </c>
      <c r="BO111" s="21">
        <f t="shared" si="81"/>
        <v>0</v>
      </c>
      <c r="BP111" s="21">
        <f t="shared" si="81"/>
        <v>0</v>
      </c>
      <c r="BQ111" s="21">
        <f t="shared" si="81"/>
        <v>0</v>
      </c>
      <c r="BR111" s="21">
        <f t="shared" si="81"/>
        <v>0</v>
      </c>
      <c r="BS111" s="21">
        <f t="shared" si="81"/>
        <v>0</v>
      </c>
      <c r="BT111" s="21">
        <f t="shared" si="81"/>
        <v>0</v>
      </c>
      <c r="BU111" s="21">
        <f t="shared" si="81"/>
        <v>0</v>
      </c>
      <c r="BV111" s="21">
        <f t="shared" si="81"/>
        <v>0</v>
      </c>
      <c r="BW111" s="21">
        <f t="shared" si="81"/>
        <v>0</v>
      </c>
      <c r="BX111" s="21">
        <f t="shared" si="82"/>
        <v>0</v>
      </c>
      <c r="BY111" s="21">
        <f t="shared" si="82"/>
        <v>0</v>
      </c>
      <c r="BZ111" s="21">
        <f t="shared" si="82"/>
        <v>0</v>
      </c>
      <c r="CA111" s="21">
        <f t="shared" si="82"/>
        <v>0</v>
      </c>
      <c r="CB111" s="21">
        <f t="shared" si="82"/>
        <v>0</v>
      </c>
      <c r="CC111" s="21">
        <f t="shared" si="82"/>
        <v>0</v>
      </c>
      <c r="CD111" s="21">
        <f t="shared" si="82"/>
        <v>0</v>
      </c>
      <c r="CE111" s="23">
        <v>0</v>
      </c>
      <c r="CF111" s="21">
        <f t="shared" si="44"/>
        <v>0</v>
      </c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3">
        <f t="shared" si="56"/>
        <v>1</v>
      </c>
      <c r="DE111" s="21">
        <f t="shared" si="83"/>
        <v>0</v>
      </c>
      <c r="DF111" s="21">
        <f t="shared" si="84"/>
        <v>0</v>
      </c>
      <c r="DG111" s="21">
        <f t="shared" si="84"/>
        <v>0</v>
      </c>
      <c r="DH111" s="21">
        <f t="shared" si="84"/>
        <v>0</v>
      </c>
      <c r="DI111" s="21">
        <f t="shared" si="84"/>
        <v>0</v>
      </c>
      <c r="DJ111" s="21">
        <f t="shared" si="84"/>
        <v>0</v>
      </c>
      <c r="DK111" s="21">
        <f t="shared" si="84"/>
        <v>0</v>
      </c>
      <c r="DL111" s="21">
        <f t="shared" si="84"/>
        <v>0</v>
      </c>
      <c r="DM111" s="21">
        <f t="shared" si="84"/>
        <v>0</v>
      </c>
      <c r="DN111" s="21">
        <f t="shared" si="84"/>
        <v>0</v>
      </c>
      <c r="DO111" s="21">
        <f t="shared" si="84"/>
        <v>0</v>
      </c>
      <c r="DP111" s="21">
        <f t="shared" si="84"/>
        <v>0</v>
      </c>
      <c r="DQ111" s="21">
        <f t="shared" si="84"/>
        <v>0</v>
      </c>
      <c r="DR111" s="21">
        <f t="shared" si="84"/>
        <v>0</v>
      </c>
      <c r="DS111" s="21">
        <f t="shared" si="84"/>
        <v>0</v>
      </c>
      <c r="DT111" s="21">
        <f t="shared" si="84"/>
        <v>0</v>
      </c>
      <c r="DU111" s="21">
        <f t="shared" si="84"/>
        <v>0</v>
      </c>
      <c r="DV111" s="21">
        <f t="shared" si="85"/>
        <v>0</v>
      </c>
      <c r="DW111" s="21">
        <f t="shared" si="85"/>
        <v>0</v>
      </c>
      <c r="DX111" s="21">
        <f t="shared" si="85"/>
        <v>0</v>
      </c>
      <c r="DY111" s="21">
        <f t="shared" si="85"/>
        <v>0</v>
      </c>
      <c r="DZ111" s="21">
        <f t="shared" si="85"/>
        <v>0</v>
      </c>
      <c r="EA111" s="21">
        <f t="shared" si="85"/>
        <v>0</v>
      </c>
      <c r="EB111" s="21">
        <f t="shared" si="85"/>
        <v>0</v>
      </c>
      <c r="EE111" s="39">
        <f t="shared" si="71"/>
        <v>0</v>
      </c>
      <c r="EF111" s="39">
        <f t="shared" si="72"/>
        <v>0</v>
      </c>
    </row>
    <row r="112" spans="1:137" ht="42.75" hidden="1" customHeight="1" x14ac:dyDescent="0.25">
      <c r="A112" s="167"/>
      <c r="B112" s="168"/>
      <c r="C112" s="44" t="s">
        <v>322</v>
      </c>
      <c r="D112" s="18" t="s">
        <v>323</v>
      </c>
      <c r="E112" s="61">
        <v>211</v>
      </c>
      <c r="F112" s="20" t="s">
        <v>324</v>
      </c>
      <c r="G112" s="21">
        <f t="shared" si="80"/>
        <v>230168649</v>
      </c>
      <c r="H112" s="22">
        <v>504000000</v>
      </c>
      <c r="I112" s="22">
        <f t="shared" si="86"/>
        <v>273831351</v>
      </c>
      <c r="J112" s="4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>
        <f>71771849+4999400+20000000+5000000+50000000+10800000+20000000+10000000+5000000+32597400</f>
        <v>230168649</v>
      </c>
      <c r="AG112" s="23">
        <f t="shared" si="54"/>
        <v>0.57989633071183377</v>
      </c>
      <c r="AH112" s="21">
        <f t="shared" si="40"/>
        <v>133473955</v>
      </c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>
        <f>+'[1]Acuerdo PLAN INVERSIÓN 2021'!$AF$7200</f>
        <v>133473955</v>
      </c>
      <c r="BF112" s="23">
        <f t="shared" si="57"/>
        <v>0.42010366928816623</v>
      </c>
      <c r="BG112" s="21">
        <f t="shared" si="64"/>
        <v>96694694</v>
      </c>
      <c r="BH112" s="21">
        <f t="shared" si="81"/>
        <v>0</v>
      </c>
      <c r="BI112" s="21">
        <f t="shared" si="81"/>
        <v>0</v>
      </c>
      <c r="BJ112" s="21">
        <f t="shared" si="81"/>
        <v>0</v>
      </c>
      <c r="BK112" s="21">
        <f t="shared" si="81"/>
        <v>0</v>
      </c>
      <c r="BL112" s="21">
        <f t="shared" si="81"/>
        <v>0</v>
      </c>
      <c r="BM112" s="21">
        <f t="shared" si="81"/>
        <v>0</v>
      </c>
      <c r="BN112" s="21">
        <f t="shared" si="81"/>
        <v>0</v>
      </c>
      <c r="BO112" s="21">
        <f t="shared" si="81"/>
        <v>0</v>
      </c>
      <c r="BP112" s="21">
        <f t="shared" si="81"/>
        <v>0</v>
      </c>
      <c r="BQ112" s="21">
        <f t="shared" si="81"/>
        <v>0</v>
      </c>
      <c r="BR112" s="21">
        <f t="shared" si="81"/>
        <v>0</v>
      </c>
      <c r="BS112" s="21">
        <f t="shared" si="81"/>
        <v>0</v>
      </c>
      <c r="BT112" s="21">
        <f t="shared" si="81"/>
        <v>0</v>
      </c>
      <c r="BU112" s="21">
        <f t="shared" si="81"/>
        <v>0</v>
      </c>
      <c r="BV112" s="21">
        <f t="shared" si="81"/>
        <v>0</v>
      </c>
      <c r="BW112" s="21">
        <f t="shared" si="81"/>
        <v>0</v>
      </c>
      <c r="BX112" s="21">
        <f t="shared" si="82"/>
        <v>0</v>
      </c>
      <c r="BY112" s="21">
        <f t="shared" si="82"/>
        <v>0</v>
      </c>
      <c r="BZ112" s="21">
        <f t="shared" si="82"/>
        <v>0</v>
      </c>
      <c r="CA112" s="21">
        <f t="shared" si="82"/>
        <v>0</v>
      </c>
      <c r="CB112" s="21">
        <f t="shared" si="82"/>
        <v>0</v>
      </c>
      <c r="CC112" s="21">
        <f t="shared" si="82"/>
        <v>0</v>
      </c>
      <c r="CD112" s="21">
        <f t="shared" si="82"/>
        <v>96694694</v>
      </c>
      <c r="CE112" s="23">
        <f t="shared" si="55"/>
        <v>0.57989633071183377</v>
      </c>
      <c r="CF112" s="21">
        <f t="shared" si="44"/>
        <v>133473955</v>
      </c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>
        <f>+'[1]Acuerdo PLAN INVERSIÓN 2021'!$H$7198</f>
        <v>133473955</v>
      </c>
      <c r="DD112" s="23">
        <f t="shared" si="56"/>
        <v>0.42010366928816623</v>
      </c>
      <c r="DE112" s="21">
        <f t="shared" si="83"/>
        <v>96694694</v>
      </c>
      <c r="DF112" s="21">
        <f t="shared" si="84"/>
        <v>0</v>
      </c>
      <c r="DG112" s="21">
        <f t="shared" si="84"/>
        <v>0</v>
      </c>
      <c r="DH112" s="21">
        <f t="shared" si="84"/>
        <v>0</v>
      </c>
      <c r="DI112" s="21">
        <f t="shared" si="84"/>
        <v>0</v>
      </c>
      <c r="DJ112" s="21">
        <f t="shared" si="84"/>
        <v>0</v>
      </c>
      <c r="DK112" s="21">
        <f t="shared" si="84"/>
        <v>0</v>
      </c>
      <c r="DL112" s="21">
        <f t="shared" si="84"/>
        <v>0</v>
      </c>
      <c r="DM112" s="21">
        <f t="shared" si="84"/>
        <v>0</v>
      </c>
      <c r="DN112" s="21">
        <f t="shared" si="84"/>
        <v>0</v>
      </c>
      <c r="DO112" s="21">
        <f t="shared" si="84"/>
        <v>0</v>
      </c>
      <c r="DP112" s="21">
        <f t="shared" si="84"/>
        <v>0</v>
      </c>
      <c r="DQ112" s="21">
        <f t="shared" si="84"/>
        <v>0</v>
      </c>
      <c r="DR112" s="21">
        <f t="shared" si="84"/>
        <v>0</v>
      </c>
      <c r="DS112" s="21">
        <f t="shared" si="84"/>
        <v>0</v>
      </c>
      <c r="DT112" s="21">
        <f t="shared" si="84"/>
        <v>0</v>
      </c>
      <c r="DU112" s="21">
        <f t="shared" si="84"/>
        <v>0</v>
      </c>
      <c r="DV112" s="21">
        <f t="shared" si="85"/>
        <v>0</v>
      </c>
      <c r="DW112" s="21">
        <f t="shared" si="85"/>
        <v>0</v>
      </c>
      <c r="DX112" s="21">
        <f t="shared" si="85"/>
        <v>0</v>
      </c>
      <c r="DY112" s="21">
        <f t="shared" si="85"/>
        <v>0</v>
      </c>
      <c r="DZ112" s="21">
        <f t="shared" si="85"/>
        <v>0</v>
      </c>
      <c r="EA112" s="21">
        <f t="shared" si="85"/>
        <v>0</v>
      </c>
      <c r="EB112" s="21">
        <f t="shared" si="85"/>
        <v>96694694</v>
      </c>
      <c r="ED112" s="64"/>
      <c r="EE112" s="39">
        <f t="shared" si="71"/>
        <v>230168649</v>
      </c>
      <c r="EF112" s="39">
        <f t="shared" si="72"/>
        <v>133473955</v>
      </c>
    </row>
    <row r="113" spans="1:136" ht="25.2" hidden="1" customHeight="1" x14ac:dyDescent="0.25">
      <c r="A113" s="167"/>
      <c r="B113" s="168"/>
      <c r="C113" s="44" t="s">
        <v>325</v>
      </c>
      <c r="D113" s="18" t="s">
        <v>326</v>
      </c>
      <c r="E113" s="61">
        <v>211</v>
      </c>
      <c r="F113" s="20" t="s">
        <v>327</v>
      </c>
      <c r="G113" s="21">
        <f t="shared" si="80"/>
        <v>17171220</v>
      </c>
      <c r="H113" s="22">
        <v>252000000</v>
      </c>
      <c r="I113" s="22">
        <f t="shared" si="86"/>
        <v>234828780</v>
      </c>
      <c r="J113" s="4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>
        <f>6103602+11067618</f>
        <v>17171220</v>
      </c>
      <c r="AG113" s="23">
        <f t="shared" si="54"/>
        <v>0.35462768516156684</v>
      </c>
      <c r="AH113" s="21">
        <f t="shared" si="40"/>
        <v>6089390</v>
      </c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>
        <f>+'[1]Acuerdo PLAN INVERSIÓN 2021'!$AF$7247</f>
        <v>6089390</v>
      </c>
      <c r="BF113" s="23">
        <f t="shared" si="57"/>
        <v>0.64537231483843316</v>
      </c>
      <c r="BG113" s="21">
        <f t="shared" si="64"/>
        <v>11081830</v>
      </c>
      <c r="BH113" s="21">
        <f t="shared" si="81"/>
        <v>0</v>
      </c>
      <c r="BI113" s="21">
        <f t="shared" si="81"/>
        <v>0</v>
      </c>
      <c r="BJ113" s="21">
        <f t="shared" si="81"/>
        <v>0</v>
      </c>
      <c r="BK113" s="21">
        <f t="shared" si="81"/>
        <v>0</v>
      </c>
      <c r="BL113" s="21">
        <f t="shared" si="81"/>
        <v>0</v>
      </c>
      <c r="BM113" s="21">
        <f t="shared" si="81"/>
        <v>0</v>
      </c>
      <c r="BN113" s="21">
        <f t="shared" si="81"/>
        <v>0</v>
      </c>
      <c r="BO113" s="21">
        <f t="shared" si="81"/>
        <v>0</v>
      </c>
      <c r="BP113" s="21">
        <f t="shared" si="81"/>
        <v>0</v>
      </c>
      <c r="BQ113" s="21">
        <f t="shared" si="81"/>
        <v>0</v>
      </c>
      <c r="BR113" s="21">
        <f t="shared" si="81"/>
        <v>0</v>
      </c>
      <c r="BS113" s="21">
        <f t="shared" si="81"/>
        <v>0</v>
      </c>
      <c r="BT113" s="21">
        <f t="shared" si="81"/>
        <v>0</v>
      </c>
      <c r="BU113" s="21">
        <f t="shared" si="81"/>
        <v>0</v>
      </c>
      <c r="BV113" s="21">
        <f t="shared" si="81"/>
        <v>0</v>
      </c>
      <c r="BW113" s="21">
        <f t="shared" si="81"/>
        <v>0</v>
      </c>
      <c r="BX113" s="21">
        <f t="shared" si="82"/>
        <v>0</v>
      </c>
      <c r="BY113" s="21">
        <f t="shared" si="82"/>
        <v>0</v>
      </c>
      <c r="BZ113" s="21">
        <f t="shared" si="82"/>
        <v>0</v>
      </c>
      <c r="CA113" s="21">
        <f t="shared" si="82"/>
        <v>0</v>
      </c>
      <c r="CB113" s="21">
        <f t="shared" si="82"/>
        <v>0</v>
      </c>
      <c r="CC113" s="21">
        <f t="shared" si="82"/>
        <v>0</v>
      </c>
      <c r="CD113" s="21">
        <f t="shared" si="82"/>
        <v>11081830</v>
      </c>
      <c r="CE113" s="23">
        <f t="shared" si="55"/>
        <v>0.35462768516156684</v>
      </c>
      <c r="CF113" s="21">
        <f t="shared" si="44"/>
        <v>6089390</v>
      </c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>
        <f>+'[5]Acuerdo PLAN INVERSIÓN 2021'!$H$6849</f>
        <v>6089390</v>
      </c>
      <c r="DD113" s="23">
        <f t="shared" si="56"/>
        <v>0.64537231483843316</v>
      </c>
      <c r="DE113" s="21">
        <f t="shared" si="83"/>
        <v>11081830</v>
      </c>
      <c r="DF113" s="21">
        <f t="shared" si="84"/>
        <v>0</v>
      </c>
      <c r="DG113" s="21">
        <f t="shared" si="84"/>
        <v>0</v>
      </c>
      <c r="DH113" s="21">
        <f t="shared" si="84"/>
        <v>0</v>
      </c>
      <c r="DI113" s="21">
        <f t="shared" si="84"/>
        <v>0</v>
      </c>
      <c r="DJ113" s="21">
        <f t="shared" si="84"/>
        <v>0</v>
      </c>
      <c r="DK113" s="21">
        <f t="shared" si="84"/>
        <v>0</v>
      </c>
      <c r="DL113" s="21">
        <f t="shared" si="84"/>
        <v>0</v>
      </c>
      <c r="DM113" s="21">
        <f t="shared" si="84"/>
        <v>0</v>
      </c>
      <c r="DN113" s="21">
        <f t="shared" si="84"/>
        <v>0</v>
      </c>
      <c r="DO113" s="21">
        <f t="shared" si="84"/>
        <v>0</v>
      </c>
      <c r="DP113" s="21">
        <f t="shared" si="84"/>
        <v>0</v>
      </c>
      <c r="DQ113" s="21">
        <f t="shared" si="84"/>
        <v>0</v>
      </c>
      <c r="DR113" s="21">
        <f t="shared" si="84"/>
        <v>0</v>
      </c>
      <c r="DS113" s="21">
        <f t="shared" si="84"/>
        <v>0</v>
      </c>
      <c r="DT113" s="21">
        <f t="shared" si="84"/>
        <v>0</v>
      </c>
      <c r="DU113" s="21">
        <f t="shared" si="84"/>
        <v>0</v>
      </c>
      <c r="DV113" s="21">
        <f t="shared" si="85"/>
        <v>0</v>
      </c>
      <c r="DW113" s="21">
        <f t="shared" si="85"/>
        <v>0</v>
      </c>
      <c r="DX113" s="21">
        <f t="shared" si="85"/>
        <v>0</v>
      </c>
      <c r="DY113" s="21">
        <f t="shared" si="85"/>
        <v>0</v>
      </c>
      <c r="DZ113" s="21">
        <f t="shared" si="85"/>
        <v>0</v>
      </c>
      <c r="EA113" s="21">
        <f t="shared" si="85"/>
        <v>0</v>
      </c>
      <c r="EB113" s="21">
        <f t="shared" si="85"/>
        <v>11081830</v>
      </c>
      <c r="EE113" s="39">
        <f t="shared" si="71"/>
        <v>17171220</v>
      </c>
      <c r="EF113" s="39">
        <f t="shared" si="72"/>
        <v>6089390</v>
      </c>
    </row>
    <row r="114" spans="1:136" ht="84" hidden="1" customHeight="1" x14ac:dyDescent="0.25">
      <c r="A114" s="167"/>
      <c r="B114" s="169" t="s">
        <v>328</v>
      </c>
      <c r="C114" s="44" t="s">
        <v>329</v>
      </c>
      <c r="D114" s="18" t="s">
        <v>330</v>
      </c>
      <c r="E114" s="61">
        <v>211</v>
      </c>
      <c r="F114" s="20" t="s">
        <v>331</v>
      </c>
      <c r="G114" s="21">
        <f t="shared" si="80"/>
        <v>646898232</v>
      </c>
      <c r="H114" s="22">
        <v>246000000</v>
      </c>
      <c r="I114" s="22">
        <f t="shared" si="86"/>
        <v>-400898232</v>
      </c>
      <c r="J114" s="41"/>
      <c r="K114" s="21"/>
      <c r="L114" s="21"/>
      <c r="M114" s="21"/>
      <c r="N114" s="21"/>
      <c r="O114" s="21"/>
      <c r="P114" s="21">
        <v>112423035</v>
      </c>
      <c r="Q114" s="21"/>
      <c r="R114" s="21"/>
      <c r="S114" s="21">
        <f>50000000+50000000</f>
        <v>100000000</v>
      </c>
      <c r="T114" s="21"/>
      <c r="U114" s="21"/>
      <c r="V114" s="21">
        <v>47237313</v>
      </c>
      <c r="W114" s="21"/>
      <c r="X114" s="21">
        <v>30000000</v>
      </c>
      <c r="Y114" s="21"/>
      <c r="Z114" s="21"/>
      <c r="AA114" s="21"/>
      <c r="AB114" s="21"/>
      <c r="AC114" s="21"/>
      <c r="AD114" s="21"/>
      <c r="AE114" s="21"/>
      <c r="AF114" s="21">
        <f>160277522+47889326+17926897+26397851+4612278+25750000+1696075+44929933+19283216+8474786</f>
        <v>357237884</v>
      </c>
      <c r="AG114" s="23">
        <f t="shared" si="54"/>
        <v>0.44075631822100886</v>
      </c>
      <c r="AH114" s="21">
        <f t="shared" si="40"/>
        <v>285124483</v>
      </c>
      <c r="AI114" s="21"/>
      <c r="AJ114" s="21"/>
      <c r="AK114" s="21"/>
      <c r="AL114" s="21"/>
      <c r="AM114" s="21"/>
      <c r="AN114" s="21"/>
      <c r="AO114" s="21">
        <f>+'[1]Acuerdo PLAN INVERSIÓN 2021'!$Z$7273</f>
        <v>102400000</v>
      </c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>
        <f>+'[1]Acuerdo PLAN INVERSIÓN 2021'!$AF$7273</f>
        <v>182724483</v>
      </c>
      <c r="BF114" s="23">
        <f t="shared" si="57"/>
        <v>0.5592436817789912</v>
      </c>
      <c r="BG114" s="21">
        <f t="shared" si="64"/>
        <v>361773749</v>
      </c>
      <c r="BH114" s="21">
        <f t="shared" si="81"/>
        <v>0</v>
      </c>
      <c r="BI114" s="21">
        <f t="shared" si="81"/>
        <v>0</v>
      </c>
      <c r="BJ114" s="21">
        <f t="shared" si="81"/>
        <v>0</v>
      </c>
      <c r="BK114" s="21">
        <f t="shared" si="81"/>
        <v>0</v>
      </c>
      <c r="BL114" s="21">
        <f t="shared" si="81"/>
        <v>0</v>
      </c>
      <c r="BM114" s="21">
        <f t="shared" si="81"/>
        <v>0</v>
      </c>
      <c r="BN114" s="21">
        <f t="shared" si="81"/>
        <v>10023035</v>
      </c>
      <c r="BO114" s="21">
        <f t="shared" si="81"/>
        <v>0</v>
      </c>
      <c r="BP114" s="21">
        <f t="shared" si="81"/>
        <v>0</v>
      </c>
      <c r="BQ114" s="21">
        <f t="shared" si="81"/>
        <v>100000000</v>
      </c>
      <c r="BR114" s="21">
        <f t="shared" si="81"/>
        <v>0</v>
      </c>
      <c r="BS114" s="21">
        <f t="shared" si="81"/>
        <v>0</v>
      </c>
      <c r="BT114" s="21">
        <f t="shared" si="81"/>
        <v>47237313</v>
      </c>
      <c r="BU114" s="21">
        <f t="shared" si="81"/>
        <v>0</v>
      </c>
      <c r="BV114" s="21">
        <f t="shared" si="81"/>
        <v>30000000</v>
      </c>
      <c r="BW114" s="21">
        <f t="shared" ref="BW114:BW129" si="87">+Y114-AX114</f>
        <v>0</v>
      </c>
      <c r="BX114" s="21">
        <f t="shared" si="82"/>
        <v>0</v>
      </c>
      <c r="BY114" s="21">
        <f t="shared" si="82"/>
        <v>0</v>
      </c>
      <c r="BZ114" s="21">
        <f t="shared" si="82"/>
        <v>0</v>
      </c>
      <c r="CA114" s="21">
        <f t="shared" si="82"/>
        <v>0</v>
      </c>
      <c r="CB114" s="21">
        <f t="shared" si="82"/>
        <v>0</v>
      </c>
      <c r="CC114" s="21">
        <f t="shared" si="82"/>
        <v>0</v>
      </c>
      <c r="CD114" s="21">
        <f t="shared" si="82"/>
        <v>174513401</v>
      </c>
      <c r="CE114" s="23">
        <f t="shared" si="55"/>
        <v>0.44075631822100886</v>
      </c>
      <c r="CF114" s="21">
        <f t="shared" si="44"/>
        <v>285124483</v>
      </c>
      <c r="CG114" s="21"/>
      <c r="CH114" s="21"/>
      <c r="CI114" s="21"/>
      <c r="CJ114" s="21"/>
      <c r="CK114" s="21"/>
      <c r="CL114" s="21"/>
      <c r="CM114" s="21">
        <f>+'[1]Acuerdo PLAN INVERSIÓN 2021'!$Z$7273</f>
        <v>102400000</v>
      </c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>
        <f>+'[1]Acuerdo PLAN INVERSIÓN 2021'!$AF$7273</f>
        <v>182724483</v>
      </c>
      <c r="DD114" s="23">
        <f t="shared" si="56"/>
        <v>0.5592436817789912</v>
      </c>
      <c r="DE114" s="21">
        <f t="shared" si="83"/>
        <v>361773749</v>
      </c>
      <c r="DF114" s="21">
        <f t="shared" si="84"/>
        <v>0</v>
      </c>
      <c r="DG114" s="21">
        <f t="shared" si="84"/>
        <v>0</v>
      </c>
      <c r="DH114" s="21">
        <f t="shared" si="84"/>
        <v>0</v>
      </c>
      <c r="DI114" s="21">
        <f t="shared" si="84"/>
        <v>0</v>
      </c>
      <c r="DJ114" s="21">
        <f t="shared" si="84"/>
        <v>0</v>
      </c>
      <c r="DK114" s="21">
        <f t="shared" si="84"/>
        <v>0</v>
      </c>
      <c r="DL114" s="21">
        <f t="shared" si="84"/>
        <v>10023035</v>
      </c>
      <c r="DM114" s="21">
        <f t="shared" si="84"/>
        <v>0</v>
      </c>
      <c r="DN114" s="21">
        <f t="shared" si="84"/>
        <v>0</v>
      </c>
      <c r="DO114" s="21">
        <f t="shared" si="84"/>
        <v>100000000</v>
      </c>
      <c r="DP114" s="21">
        <f t="shared" si="84"/>
        <v>0</v>
      </c>
      <c r="DQ114" s="21">
        <f t="shared" si="84"/>
        <v>0</v>
      </c>
      <c r="DR114" s="21">
        <f t="shared" si="84"/>
        <v>47237313</v>
      </c>
      <c r="DS114" s="21">
        <f t="shared" si="84"/>
        <v>0</v>
      </c>
      <c r="DT114" s="21">
        <f t="shared" si="84"/>
        <v>30000000</v>
      </c>
      <c r="DU114" s="21">
        <f t="shared" ref="DU114:DU129" si="88">+Y114-CV114</f>
        <v>0</v>
      </c>
      <c r="DV114" s="21">
        <f t="shared" si="85"/>
        <v>0</v>
      </c>
      <c r="DW114" s="21">
        <f t="shared" si="85"/>
        <v>0</v>
      </c>
      <c r="DX114" s="21">
        <f t="shared" si="85"/>
        <v>0</v>
      </c>
      <c r="DY114" s="21">
        <f t="shared" si="85"/>
        <v>0</v>
      </c>
      <c r="DZ114" s="21">
        <f t="shared" si="85"/>
        <v>0</v>
      </c>
      <c r="EA114" s="21">
        <f t="shared" si="85"/>
        <v>0</v>
      </c>
      <c r="EB114" s="21">
        <f t="shared" si="85"/>
        <v>174513401</v>
      </c>
      <c r="EE114" s="39">
        <f t="shared" si="71"/>
        <v>646898232</v>
      </c>
      <c r="EF114" s="39">
        <f t="shared" si="72"/>
        <v>285124483</v>
      </c>
    </row>
    <row r="115" spans="1:136" ht="41.25" hidden="1" customHeight="1" x14ac:dyDescent="0.25">
      <c r="A115" s="167"/>
      <c r="B115" s="170"/>
      <c r="C115" s="44" t="s">
        <v>332</v>
      </c>
      <c r="D115" s="18" t="s">
        <v>333</v>
      </c>
      <c r="E115" s="61">
        <v>211</v>
      </c>
      <c r="F115" s="20" t="s">
        <v>334</v>
      </c>
      <c r="G115" s="21">
        <f t="shared" si="80"/>
        <v>798382610</v>
      </c>
      <c r="H115" s="22">
        <v>700000000</v>
      </c>
      <c r="I115" s="22">
        <f t="shared" si="86"/>
        <v>-98382610</v>
      </c>
      <c r="J115" s="41"/>
      <c r="K115" s="21"/>
      <c r="L115" s="21"/>
      <c r="M115" s="21"/>
      <c r="N115" s="21"/>
      <c r="O115" s="21"/>
      <c r="P115" s="21">
        <v>100000000</v>
      </c>
      <c r="Q115" s="21"/>
      <c r="R115" s="21"/>
      <c r="S115" s="21"/>
      <c r="T115" s="21"/>
      <c r="U115" s="21">
        <v>270000000</v>
      </c>
      <c r="V115" s="21"/>
      <c r="W115" s="21"/>
      <c r="X115" s="21"/>
      <c r="Y115" s="21"/>
      <c r="Z115" s="21"/>
      <c r="AA115" s="21">
        <v>360316000</v>
      </c>
      <c r="AB115" s="21"/>
      <c r="AC115" s="21"/>
      <c r="AD115" s="21"/>
      <c r="AE115" s="21"/>
      <c r="AF115" s="21">
        <f>17234367+423225+16000000+34409018</f>
        <v>68066610</v>
      </c>
      <c r="AG115" s="23">
        <f t="shared" si="54"/>
        <v>0.93569272507075274</v>
      </c>
      <c r="AH115" s="21">
        <f t="shared" si="40"/>
        <v>747040800</v>
      </c>
      <c r="AI115" s="21"/>
      <c r="AJ115" s="21"/>
      <c r="AK115" s="21"/>
      <c r="AL115" s="21"/>
      <c r="AM115" s="21"/>
      <c r="AN115" s="21"/>
      <c r="AO115" s="21">
        <f>+'[11]Acuerdo PLAN INVERSIÓN 2021'!$Z$1978</f>
        <v>100000000</v>
      </c>
      <c r="AP115" s="21"/>
      <c r="AQ115" s="21"/>
      <c r="AR115" s="21"/>
      <c r="AS115" s="21"/>
      <c r="AT115" s="21">
        <f>+'[11]Acuerdo PLAN INVERSIÓN 2021'!$O$1978</f>
        <v>270000000</v>
      </c>
      <c r="AU115" s="21"/>
      <c r="AV115" s="21"/>
      <c r="AW115" s="21"/>
      <c r="AX115" s="21"/>
      <c r="AY115" s="21"/>
      <c r="AZ115" s="21">
        <f>+'[1]Acuerdo PLAN INVERSIÓN 2021'!$X$7316</f>
        <v>317040800</v>
      </c>
      <c r="BA115" s="21"/>
      <c r="BB115" s="21"/>
      <c r="BC115" s="21"/>
      <c r="BD115" s="21"/>
      <c r="BE115" s="21">
        <f>+'[1]Acuerdo PLAN INVERSIÓN 2021'!$AF$7316</f>
        <v>60000000</v>
      </c>
      <c r="BF115" s="23">
        <f t="shared" si="57"/>
        <v>6.430727492924726E-2</v>
      </c>
      <c r="BG115" s="21">
        <f t="shared" si="64"/>
        <v>51341810</v>
      </c>
      <c r="BH115" s="21">
        <f t="shared" ref="BH115:BV129" si="89">+J115-AI115</f>
        <v>0</v>
      </c>
      <c r="BI115" s="21">
        <f t="shared" si="89"/>
        <v>0</v>
      </c>
      <c r="BJ115" s="21">
        <f t="shared" si="89"/>
        <v>0</v>
      </c>
      <c r="BK115" s="21">
        <f t="shared" si="89"/>
        <v>0</v>
      </c>
      <c r="BL115" s="21">
        <f t="shared" si="89"/>
        <v>0</v>
      </c>
      <c r="BM115" s="21">
        <f t="shared" si="89"/>
        <v>0</v>
      </c>
      <c r="BN115" s="21">
        <f t="shared" si="89"/>
        <v>0</v>
      </c>
      <c r="BO115" s="21">
        <f t="shared" si="89"/>
        <v>0</v>
      </c>
      <c r="BP115" s="21">
        <f t="shared" si="89"/>
        <v>0</v>
      </c>
      <c r="BQ115" s="21">
        <f t="shared" si="89"/>
        <v>0</v>
      </c>
      <c r="BR115" s="21">
        <f t="shared" si="89"/>
        <v>0</v>
      </c>
      <c r="BS115" s="21">
        <f t="shared" si="89"/>
        <v>0</v>
      </c>
      <c r="BT115" s="21">
        <f t="shared" si="89"/>
        <v>0</v>
      </c>
      <c r="BU115" s="21">
        <f t="shared" si="89"/>
        <v>0</v>
      </c>
      <c r="BV115" s="21">
        <f t="shared" si="89"/>
        <v>0</v>
      </c>
      <c r="BW115" s="21">
        <f t="shared" si="87"/>
        <v>0</v>
      </c>
      <c r="BX115" s="21">
        <f t="shared" si="82"/>
        <v>0</v>
      </c>
      <c r="BY115" s="21">
        <f t="shared" si="82"/>
        <v>43275200</v>
      </c>
      <c r="BZ115" s="21">
        <f t="shared" si="82"/>
        <v>0</v>
      </c>
      <c r="CA115" s="21">
        <f t="shared" si="82"/>
        <v>0</v>
      </c>
      <c r="CB115" s="21">
        <f t="shared" si="82"/>
        <v>0</v>
      </c>
      <c r="CC115" s="21">
        <f t="shared" si="82"/>
        <v>0</v>
      </c>
      <c r="CD115" s="21">
        <f t="shared" si="82"/>
        <v>8066610</v>
      </c>
      <c r="CE115" s="23">
        <f t="shared" si="55"/>
        <v>0.93569272507075274</v>
      </c>
      <c r="CF115" s="21">
        <f t="shared" si="44"/>
        <v>747040800</v>
      </c>
      <c r="CG115" s="21"/>
      <c r="CH115" s="21"/>
      <c r="CI115" s="21"/>
      <c r="CJ115" s="21"/>
      <c r="CK115" s="21"/>
      <c r="CL115" s="21"/>
      <c r="CM115" s="21">
        <f>+'[11]Acuerdo PLAN INVERSIÓN 2021'!$Z$1978</f>
        <v>100000000</v>
      </c>
      <c r="CN115" s="21"/>
      <c r="CO115" s="21"/>
      <c r="CP115" s="21"/>
      <c r="CQ115" s="21"/>
      <c r="CR115" s="21">
        <f>+'[11]Acuerdo PLAN INVERSIÓN 2021'!$O$1978</f>
        <v>270000000</v>
      </c>
      <c r="CS115" s="21"/>
      <c r="CT115" s="21"/>
      <c r="CU115" s="21"/>
      <c r="CV115" s="21"/>
      <c r="CW115" s="21"/>
      <c r="CX115" s="21">
        <f>+'[1]Acuerdo PLAN INVERSIÓN 2021'!$X$7316</f>
        <v>317040800</v>
      </c>
      <c r="CY115" s="21"/>
      <c r="CZ115" s="21"/>
      <c r="DA115" s="21"/>
      <c r="DB115" s="21"/>
      <c r="DC115" s="21">
        <f>+'[1]Acuerdo PLAN INVERSIÓN 2021'!$AF$7316</f>
        <v>60000000</v>
      </c>
      <c r="DD115" s="23">
        <f t="shared" si="56"/>
        <v>6.430727492924726E-2</v>
      </c>
      <c r="DE115" s="21">
        <f t="shared" si="83"/>
        <v>51341810</v>
      </c>
      <c r="DF115" s="21">
        <f t="shared" ref="DF115:DT129" si="90">+J115-CG115</f>
        <v>0</v>
      </c>
      <c r="DG115" s="21">
        <f t="shared" si="90"/>
        <v>0</v>
      </c>
      <c r="DH115" s="21">
        <f t="shared" si="90"/>
        <v>0</v>
      </c>
      <c r="DI115" s="21">
        <f t="shared" si="90"/>
        <v>0</v>
      </c>
      <c r="DJ115" s="21">
        <f t="shared" si="90"/>
        <v>0</v>
      </c>
      <c r="DK115" s="21">
        <f t="shared" si="90"/>
        <v>0</v>
      </c>
      <c r="DL115" s="21">
        <f t="shared" si="90"/>
        <v>0</v>
      </c>
      <c r="DM115" s="21">
        <f t="shared" si="90"/>
        <v>0</v>
      </c>
      <c r="DN115" s="21">
        <f t="shared" si="90"/>
        <v>0</v>
      </c>
      <c r="DO115" s="21">
        <f t="shared" si="90"/>
        <v>0</v>
      </c>
      <c r="DP115" s="21">
        <f t="shared" si="90"/>
        <v>0</v>
      </c>
      <c r="DQ115" s="21">
        <f t="shared" si="90"/>
        <v>0</v>
      </c>
      <c r="DR115" s="21">
        <f t="shared" si="90"/>
        <v>0</v>
      </c>
      <c r="DS115" s="21">
        <f t="shared" si="90"/>
        <v>0</v>
      </c>
      <c r="DT115" s="21">
        <f t="shared" si="90"/>
        <v>0</v>
      </c>
      <c r="DU115" s="21">
        <f t="shared" si="88"/>
        <v>0</v>
      </c>
      <c r="DV115" s="21">
        <f t="shared" si="85"/>
        <v>0</v>
      </c>
      <c r="DW115" s="21">
        <f t="shared" si="85"/>
        <v>43275200</v>
      </c>
      <c r="DX115" s="21">
        <f t="shared" si="85"/>
        <v>0</v>
      </c>
      <c r="DY115" s="21">
        <f t="shared" si="85"/>
        <v>0</v>
      </c>
      <c r="DZ115" s="21">
        <f t="shared" si="85"/>
        <v>0</v>
      </c>
      <c r="EA115" s="21">
        <f t="shared" si="85"/>
        <v>0</v>
      </c>
      <c r="EB115" s="21">
        <f t="shared" si="85"/>
        <v>8066610</v>
      </c>
      <c r="EE115" s="39">
        <f t="shared" si="71"/>
        <v>798382610</v>
      </c>
      <c r="EF115" s="39">
        <f t="shared" si="72"/>
        <v>747040800</v>
      </c>
    </row>
    <row r="116" spans="1:136" ht="32.25" hidden="1" customHeight="1" x14ac:dyDescent="0.25">
      <c r="A116" s="167"/>
      <c r="B116" s="171" t="s">
        <v>335</v>
      </c>
      <c r="C116" s="44" t="s">
        <v>336</v>
      </c>
      <c r="D116" s="29" t="s">
        <v>337</v>
      </c>
      <c r="E116" s="61">
        <v>211</v>
      </c>
      <c r="F116" s="20" t="s">
        <v>338</v>
      </c>
      <c r="G116" s="21">
        <f t="shared" si="80"/>
        <v>795694116</v>
      </c>
      <c r="H116" s="22">
        <v>585000000</v>
      </c>
      <c r="I116" s="22">
        <f t="shared" si="86"/>
        <v>-210694116</v>
      </c>
      <c r="J116" s="21">
        <f>226181133+60000000+288480447</f>
        <v>574661580</v>
      </c>
      <c r="K116" s="21">
        <f>60000000-14686000</f>
        <v>45314000</v>
      </c>
      <c r="L116" s="21"/>
      <c r="M116" s="21">
        <v>718536</v>
      </c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>
        <v>150000000</v>
      </c>
      <c r="AB116" s="21"/>
      <c r="AC116" s="21"/>
      <c r="AD116" s="21"/>
      <c r="AE116" s="21"/>
      <c r="AF116" s="21">
        <f>5000000+20000000</f>
        <v>25000000</v>
      </c>
      <c r="AG116" s="23">
        <f t="shared" si="54"/>
        <v>0.21970000089833516</v>
      </c>
      <c r="AH116" s="21">
        <f t="shared" ref="AH116:AH129" si="91">SUM(AI116:BE116)</f>
        <v>174813998</v>
      </c>
      <c r="AI116" s="21"/>
      <c r="AJ116" s="21">
        <f>+'[2]Acuerdo PLAN INVERSIÓN 2021'!$H$3523+'[2]Acuerdo PLAN INVERSIÓN 2021'!$H$3532</f>
        <v>43700000</v>
      </c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>
        <f>+'[1]Acuerdo PLAN INVERSIÓN 2021'!$X$7346</f>
        <v>106500000</v>
      </c>
      <c r="BA116" s="21"/>
      <c r="BB116" s="21"/>
      <c r="BC116" s="21"/>
      <c r="BD116" s="21"/>
      <c r="BE116" s="21">
        <f>+'[1]Acuerdo PLAN INVERSIÓN 2021'!$AF$7346</f>
        <v>24613998</v>
      </c>
      <c r="BF116" s="23">
        <f t="shared" si="57"/>
        <v>0.78029999910166481</v>
      </c>
      <c r="BG116" s="21">
        <f t="shared" si="64"/>
        <v>620880118</v>
      </c>
      <c r="BH116" s="21">
        <f t="shared" si="89"/>
        <v>574661580</v>
      </c>
      <c r="BI116" s="21">
        <f t="shared" si="89"/>
        <v>1614000</v>
      </c>
      <c r="BJ116" s="21">
        <f t="shared" si="89"/>
        <v>0</v>
      </c>
      <c r="BK116" s="21">
        <f t="shared" si="89"/>
        <v>718536</v>
      </c>
      <c r="BL116" s="21">
        <f t="shared" si="89"/>
        <v>0</v>
      </c>
      <c r="BM116" s="21">
        <f t="shared" si="89"/>
        <v>0</v>
      </c>
      <c r="BN116" s="21">
        <f t="shared" si="89"/>
        <v>0</v>
      </c>
      <c r="BO116" s="21">
        <f t="shared" si="89"/>
        <v>0</v>
      </c>
      <c r="BP116" s="21">
        <f t="shared" si="89"/>
        <v>0</v>
      </c>
      <c r="BQ116" s="21">
        <f t="shared" si="89"/>
        <v>0</v>
      </c>
      <c r="BR116" s="21">
        <f t="shared" si="89"/>
        <v>0</v>
      </c>
      <c r="BS116" s="21">
        <f t="shared" si="89"/>
        <v>0</v>
      </c>
      <c r="BT116" s="21">
        <f t="shared" si="89"/>
        <v>0</v>
      </c>
      <c r="BU116" s="21">
        <f t="shared" si="89"/>
        <v>0</v>
      </c>
      <c r="BV116" s="21">
        <f t="shared" si="89"/>
        <v>0</v>
      </c>
      <c r="BW116" s="21">
        <f t="shared" si="87"/>
        <v>0</v>
      </c>
      <c r="BX116" s="21">
        <f t="shared" si="82"/>
        <v>0</v>
      </c>
      <c r="BY116" s="21">
        <f t="shared" si="82"/>
        <v>43500000</v>
      </c>
      <c r="BZ116" s="21">
        <f t="shared" si="82"/>
        <v>0</v>
      </c>
      <c r="CA116" s="21">
        <f t="shared" si="82"/>
        <v>0</v>
      </c>
      <c r="CB116" s="21">
        <f t="shared" si="82"/>
        <v>0</v>
      </c>
      <c r="CC116" s="21">
        <f t="shared" si="82"/>
        <v>0</v>
      </c>
      <c r="CD116" s="21">
        <f t="shared" si="82"/>
        <v>386002</v>
      </c>
      <c r="CE116" s="23">
        <f t="shared" si="55"/>
        <v>0.21970000089833516</v>
      </c>
      <c r="CF116" s="21">
        <f t="shared" ref="CF116:CF129" si="92">SUM(CG116:DC116)</f>
        <v>174813998</v>
      </c>
      <c r="CG116" s="21"/>
      <c r="CH116" s="21">
        <f>+'[2]Acuerdo PLAN INVERSIÓN 2021'!$H$3523+'[2]Acuerdo PLAN INVERSIÓN 2021'!$H$3532</f>
        <v>43700000</v>
      </c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>
        <f>+'[1]Acuerdo PLAN INVERSIÓN 2021'!$X$7346</f>
        <v>106500000</v>
      </c>
      <c r="CY116" s="21"/>
      <c r="CZ116" s="21"/>
      <c r="DA116" s="21"/>
      <c r="DB116" s="21"/>
      <c r="DC116" s="21">
        <f>+'[1]Acuerdo PLAN INVERSIÓN 2021'!$AF$7346</f>
        <v>24613998</v>
      </c>
      <c r="DD116" s="23">
        <f t="shared" si="56"/>
        <v>0.78029999910166481</v>
      </c>
      <c r="DE116" s="21">
        <f t="shared" si="83"/>
        <v>620880118</v>
      </c>
      <c r="DF116" s="21">
        <f t="shared" si="90"/>
        <v>574661580</v>
      </c>
      <c r="DG116" s="21">
        <f t="shared" si="90"/>
        <v>1614000</v>
      </c>
      <c r="DH116" s="21">
        <f t="shared" si="90"/>
        <v>0</v>
      </c>
      <c r="DI116" s="21">
        <f t="shared" si="90"/>
        <v>718536</v>
      </c>
      <c r="DJ116" s="21">
        <f t="shared" si="90"/>
        <v>0</v>
      </c>
      <c r="DK116" s="21">
        <f t="shared" si="90"/>
        <v>0</v>
      </c>
      <c r="DL116" s="21">
        <f t="shared" si="90"/>
        <v>0</v>
      </c>
      <c r="DM116" s="21">
        <f t="shared" si="90"/>
        <v>0</v>
      </c>
      <c r="DN116" s="21">
        <f t="shared" si="90"/>
        <v>0</v>
      </c>
      <c r="DO116" s="21">
        <f t="shared" si="90"/>
        <v>0</v>
      </c>
      <c r="DP116" s="21">
        <f t="shared" si="90"/>
        <v>0</v>
      </c>
      <c r="DQ116" s="21">
        <f t="shared" si="90"/>
        <v>0</v>
      </c>
      <c r="DR116" s="21">
        <f t="shared" si="90"/>
        <v>0</v>
      </c>
      <c r="DS116" s="21">
        <f t="shared" si="90"/>
        <v>0</v>
      </c>
      <c r="DT116" s="21">
        <f t="shared" si="90"/>
        <v>0</v>
      </c>
      <c r="DU116" s="21">
        <f t="shared" si="88"/>
        <v>0</v>
      </c>
      <c r="DV116" s="21">
        <f t="shared" si="85"/>
        <v>0</v>
      </c>
      <c r="DW116" s="21">
        <f t="shared" si="85"/>
        <v>43500000</v>
      </c>
      <c r="DX116" s="21">
        <f t="shared" si="85"/>
        <v>0</v>
      </c>
      <c r="DY116" s="21">
        <f t="shared" si="85"/>
        <v>0</v>
      </c>
      <c r="DZ116" s="21">
        <f t="shared" si="85"/>
        <v>0</v>
      </c>
      <c r="EA116" s="21">
        <f t="shared" si="85"/>
        <v>0</v>
      </c>
      <c r="EB116" s="21">
        <f t="shared" si="85"/>
        <v>386002</v>
      </c>
      <c r="EE116" s="39">
        <f t="shared" si="71"/>
        <v>795694116</v>
      </c>
      <c r="EF116" s="39">
        <f t="shared" si="72"/>
        <v>174813998</v>
      </c>
    </row>
    <row r="117" spans="1:136" ht="30" hidden="1" customHeight="1" x14ac:dyDescent="0.25">
      <c r="A117" s="167"/>
      <c r="B117" s="172"/>
      <c r="C117" s="44" t="s">
        <v>339</v>
      </c>
      <c r="D117" s="29" t="s">
        <v>340</v>
      </c>
      <c r="E117" s="61">
        <v>211</v>
      </c>
      <c r="F117" s="20" t="s">
        <v>243</v>
      </c>
      <c r="G117" s="21">
        <f t="shared" si="80"/>
        <v>90000000</v>
      </c>
      <c r="H117" s="22">
        <v>380000000</v>
      </c>
      <c r="I117" s="22">
        <f t="shared" si="86"/>
        <v>290000000</v>
      </c>
      <c r="J117" s="41"/>
      <c r="K117" s="21">
        <v>45000000</v>
      </c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>
        <f>15000000+30000000</f>
        <v>45000000</v>
      </c>
      <c r="AB117" s="21"/>
      <c r="AC117" s="21"/>
      <c r="AD117" s="21"/>
      <c r="AE117" s="21"/>
      <c r="AF117" s="21"/>
      <c r="AG117" s="23">
        <f t="shared" si="54"/>
        <v>0.969858</v>
      </c>
      <c r="AH117" s="21">
        <f t="shared" si="91"/>
        <v>87287220</v>
      </c>
      <c r="AI117" s="21"/>
      <c r="AJ117" s="21">
        <f>+'[1]Acuerdo PLAN INVERSIÓN 2021'!$J$7372</f>
        <v>44457860</v>
      </c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>
        <f>+'[1]Acuerdo PLAN INVERSIÓN 2021'!$X$7372</f>
        <v>42829360</v>
      </c>
      <c r="BA117" s="21"/>
      <c r="BB117" s="21"/>
      <c r="BC117" s="21"/>
      <c r="BD117" s="21"/>
      <c r="BE117" s="21"/>
      <c r="BF117" s="23">
        <f t="shared" si="57"/>
        <v>3.0142000000000002E-2</v>
      </c>
      <c r="BG117" s="21">
        <f t="shared" si="64"/>
        <v>2712780</v>
      </c>
      <c r="BH117" s="21">
        <f t="shared" si="89"/>
        <v>0</v>
      </c>
      <c r="BI117" s="21">
        <f t="shared" si="89"/>
        <v>542140</v>
      </c>
      <c r="BJ117" s="21">
        <f t="shared" si="89"/>
        <v>0</v>
      </c>
      <c r="BK117" s="21">
        <f t="shared" si="89"/>
        <v>0</v>
      </c>
      <c r="BL117" s="21">
        <f t="shared" si="89"/>
        <v>0</v>
      </c>
      <c r="BM117" s="21">
        <f t="shared" si="89"/>
        <v>0</v>
      </c>
      <c r="BN117" s="21">
        <f t="shared" si="89"/>
        <v>0</v>
      </c>
      <c r="BO117" s="21">
        <f t="shared" si="89"/>
        <v>0</v>
      </c>
      <c r="BP117" s="21">
        <f t="shared" si="89"/>
        <v>0</v>
      </c>
      <c r="BQ117" s="21">
        <f t="shared" si="89"/>
        <v>0</v>
      </c>
      <c r="BR117" s="21">
        <f t="shared" si="89"/>
        <v>0</v>
      </c>
      <c r="BS117" s="21">
        <f t="shared" si="89"/>
        <v>0</v>
      </c>
      <c r="BT117" s="21">
        <f t="shared" si="89"/>
        <v>0</v>
      </c>
      <c r="BU117" s="21">
        <f t="shared" si="89"/>
        <v>0</v>
      </c>
      <c r="BV117" s="21">
        <f t="shared" si="89"/>
        <v>0</v>
      </c>
      <c r="BW117" s="21">
        <f t="shared" si="87"/>
        <v>0</v>
      </c>
      <c r="BX117" s="21">
        <f t="shared" si="82"/>
        <v>0</v>
      </c>
      <c r="BY117" s="21">
        <f t="shared" si="82"/>
        <v>2170640</v>
      </c>
      <c r="BZ117" s="21">
        <f t="shared" si="82"/>
        <v>0</v>
      </c>
      <c r="CA117" s="21">
        <f t="shared" si="82"/>
        <v>0</v>
      </c>
      <c r="CB117" s="21">
        <f t="shared" si="82"/>
        <v>0</v>
      </c>
      <c r="CC117" s="21">
        <f t="shared" si="82"/>
        <v>0</v>
      </c>
      <c r="CD117" s="21">
        <f t="shared" si="82"/>
        <v>0</v>
      </c>
      <c r="CE117" s="23">
        <f t="shared" si="55"/>
        <v>0.969858</v>
      </c>
      <c r="CF117" s="21">
        <f t="shared" si="92"/>
        <v>87287220</v>
      </c>
      <c r="CG117" s="21"/>
      <c r="CH117" s="21">
        <f>+'[12]Acuerdo PLAN INVERSIÓN 2021'!$H$1327</f>
        <v>44457860</v>
      </c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>
        <f>+'[3]Acuerdo PLAN INVERSIÓN 2021'!$H$4953+'[3]Acuerdo PLAN INVERSIÓN 2021'!$H$4959</f>
        <v>42829360</v>
      </c>
      <c r="CY117" s="21"/>
      <c r="CZ117" s="21"/>
      <c r="DA117" s="21"/>
      <c r="DB117" s="21"/>
      <c r="DC117" s="21"/>
      <c r="DD117" s="23">
        <f t="shared" si="56"/>
        <v>3.0142000000000002E-2</v>
      </c>
      <c r="DE117" s="21">
        <f t="shared" si="83"/>
        <v>2712780</v>
      </c>
      <c r="DF117" s="21">
        <f t="shared" si="90"/>
        <v>0</v>
      </c>
      <c r="DG117" s="21">
        <f t="shared" si="90"/>
        <v>542140</v>
      </c>
      <c r="DH117" s="21">
        <f t="shared" si="90"/>
        <v>0</v>
      </c>
      <c r="DI117" s="21">
        <f t="shared" si="90"/>
        <v>0</v>
      </c>
      <c r="DJ117" s="21">
        <f t="shared" si="90"/>
        <v>0</v>
      </c>
      <c r="DK117" s="21">
        <f t="shared" si="90"/>
        <v>0</v>
      </c>
      <c r="DL117" s="21">
        <f t="shared" si="90"/>
        <v>0</v>
      </c>
      <c r="DM117" s="21">
        <f t="shared" si="90"/>
        <v>0</v>
      </c>
      <c r="DN117" s="21">
        <f t="shared" si="90"/>
        <v>0</v>
      </c>
      <c r="DO117" s="21">
        <f t="shared" si="90"/>
        <v>0</v>
      </c>
      <c r="DP117" s="21">
        <f t="shared" si="90"/>
        <v>0</v>
      </c>
      <c r="DQ117" s="21">
        <f t="shared" si="90"/>
        <v>0</v>
      </c>
      <c r="DR117" s="21">
        <f t="shared" si="90"/>
        <v>0</v>
      </c>
      <c r="DS117" s="21">
        <f t="shared" si="90"/>
        <v>0</v>
      </c>
      <c r="DT117" s="21">
        <f t="shared" si="90"/>
        <v>0</v>
      </c>
      <c r="DU117" s="21">
        <f t="shared" si="88"/>
        <v>0</v>
      </c>
      <c r="DV117" s="21">
        <f t="shared" si="85"/>
        <v>0</v>
      </c>
      <c r="DW117" s="21">
        <f t="shared" si="85"/>
        <v>2170640</v>
      </c>
      <c r="DX117" s="21">
        <f t="shared" si="85"/>
        <v>0</v>
      </c>
      <c r="DY117" s="21">
        <f t="shared" si="85"/>
        <v>0</v>
      </c>
      <c r="DZ117" s="21">
        <f t="shared" si="85"/>
        <v>0</v>
      </c>
      <c r="EA117" s="21">
        <f t="shared" si="85"/>
        <v>0</v>
      </c>
      <c r="EB117" s="21">
        <f t="shared" si="85"/>
        <v>0</v>
      </c>
      <c r="EE117" s="39">
        <f t="shared" si="71"/>
        <v>90000000</v>
      </c>
      <c r="EF117" s="39">
        <f t="shared" si="72"/>
        <v>87287220</v>
      </c>
    </row>
    <row r="118" spans="1:136" ht="18" hidden="1" customHeight="1" x14ac:dyDescent="0.25">
      <c r="A118" s="167"/>
      <c r="B118" s="172"/>
      <c r="C118" s="44" t="s">
        <v>341</v>
      </c>
      <c r="D118" s="29" t="s">
        <v>342</v>
      </c>
      <c r="E118" s="61">
        <v>211</v>
      </c>
      <c r="F118" s="20" t="s">
        <v>243</v>
      </c>
      <c r="G118" s="21">
        <f t="shared" si="80"/>
        <v>135400000</v>
      </c>
      <c r="H118" s="22">
        <v>231000000</v>
      </c>
      <c r="I118" s="22">
        <f t="shared" si="86"/>
        <v>95600000</v>
      </c>
      <c r="J118" s="41"/>
      <c r="K118" s="21">
        <v>55000000</v>
      </c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>
        <f>40400000+40000000</f>
        <v>80400000</v>
      </c>
      <c r="AB118" s="21"/>
      <c r="AC118" s="21"/>
      <c r="AD118" s="21"/>
      <c r="AE118" s="21"/>
      <c r="AF118" s="21"/>
      <c r="AG118" s="23">
        <f t="shared" si="54"/>
        <v>0.90947675775480064</v>
      </c>
      <c r="AH118" s="21">
        <f t="shared" si="91"/>
        <v>123143153</v>
      </c>
      <c r="AI118" s="21"/>
      <c r="AJ118" s="21">
        <f>+'[1]Acuerdo PLAN INVERSIÓN 2021'!$J$7392</f>
        <v>54909740</v>
      </c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>
        <f>+'[1]Acuerdo PLAN INVERSIÓN 2021'!$X$7392</f>
        <v>68233413</v>
      </c>
      <c r="BA118" s="21"/>
      <c r="BB118" s="21"/>
      <c r="BC118" s="21"/>
      <c r="BD118" s="21"/>
      <c r="BE118" s="21"/>
      <c r="BF118" s="23">
        <f t="shared" si="57"/>
        <v>9.0523242245199365E-2</v>
      </c>
      <c r="BG118" s="21">
        <f t="shared" si="64"/>
        <v>12256847</v>
      </c>
      <c r="BH118" s="21">
        <f t="shared" si="89"/>
        <v>0</v>
      </c>
      <c r="BI118" s="21">
        <f t="shared" si="89"/>
        <v>90260</v>
      </c>
      <c r="BJ118" s="21">
        <f t="shared" si="89"/>
        <v>0</v>
      </c>
      <c r="BK118" s="21">
        <f t="shared" si="89"/>
        <v>0</v>
      </c>
      <c r="BL118" s="21">
        <f t="shared" si="89"/>
        <v>0</v>
      </c>
      <c r="BM118" s="21">
        <f t="shared" si="89"/>
        <v>0</v>
      </c>
      <c r="BN118" s="21">
        <f t="shared" si="89"/>
        <v>0</v>
      </c>
      <c r="BO118" s="21">
        <f t="shared" si="89"/>
        <v>0</v>
      </c>
      <c r="BP118" s="21">
        <f t="shared" si="89"/>
        <v>0</v>
      </c>
      <c r="BQ118" s="21">
        <f t="shared" si="89"/>
        <v>0</v>
      </c>
      <c r="BR118" s="21">
        <f t="shared" si="89"/>
        <v>0</v>
      </c>
      <c r="BS118" s="21">
        <f t="shared" si="89"/>
        <v>0</v>
      </c>
      <c r="BT118" s="21">
        <f t="shared" si="89"/>
        <v>0</v>
      </c>
      <c r="BU118" s="21">
        <f t="shared" si="89"/>
        <v>0</v>
      </c>
      <c r="BV118" s="21">
        <f t="shared" si="89"/>
        <v>0</v>
      </c>
      <c r="BW118" s="21">
        <f t="shared" si="87"/>
        <v>0</v>
      </c>
      <c r="BX118" s="21">
        <f t="shared" si="82"/>
        <v>0</v>
      </c>
      <c r="BY118" s="21">
        <f t="shared" si="82"/>
        <v>12166587</v>
      </c>
      <c r="BZ118" s="21">
        <f t="shared" si="82"/>
        <v>0</v>
      </c>
      <c r="CA118" s="21">
        <f t="shared" si="82"/>
        <v>0</v>
      </c>
      <c r="CB118" s="21">
        <f t="shared" si="82"/>
        <v>0</v>
      </c>
      <c r="CC118" s="21">
        <f t="shared" si="82"/>
        <v>0</v>
      </c>
      <c r="CD118" s="21">
        <f t="shared" si="82"/>
        <v>0</v>
      </c>
      <c r="CE118" s="23">
        <f t="shared" si="55"/>
        <v>0.90947675775480064</v>
      </c>
      <c r="CF118" s="21">
        <f t="shared" si="92"/>
        <v>123143153</v>
      </c>
      <c r="CG118" s="21"/>
      <c r="CH118" s="21">
        <f>+'[12]Acuerdo PLAN INVERSIÓN 2021'!$H$1336</f>
        <v>54909740</v>
      </c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>
        <f>+'[3]Acuerdo PLAN INVERSIÓN 2021'!$H$4974+'[3]Acuerdo PLAN INVERSIÓN 2021'!$H$4983</f>
        <v>68233413</v>
      </c>
      <c r="CY118" s="21"/>
      <c r="CZ118" s="21"/>
      <c r="DA118" s="21"/>
      <c r="DB118" s="21"/>
      <c r="DC118" s="21"/>
      <c r="DD118" s="23">
        <f t="shared" si="56"/>
        <v>9.0523242245199365E-2</v>
      </c>
      <c r="DE118" s="21">
        <f t="shared" si="83"/>
        <v>12256847</v>
      </c>
      <c r="DF118" s="21">
        <f t="shared" si="90"/>
        <v>0</v>
      </c>
      <c r="DG118" s="21">
        <f t="shared" si="90"/>
        <v>90260</v>
      </c>
      <c r="DH118" s="21">
        <f t="shared" si="90"/>
        <v>0</v>
      </c>
      <c r="DI118" s="21">
        <f t="shared" si="90"/>
        <v>0</v>
      </c>
      <c r="DJ118" s="21">
        <f t="shared" si="90"/>
        <v>0</v>
      </c>
      <c r="DK118" s="21">
        <f t="shared" si="90"/>
        <v>0</v>
      </c>
      <c r="DL118" s="21">
        <f t="shared" si="90"/>
        <v>0</v>
      </c>
      <c r="DM118" s="21">
        <f t="shared" si="90"/>
        <v>0</v>
      </c>
      <c r="DN118" s="21">
        <f t="shared" si="90"/>
        <v>0</v>
      </c>
      <c r="DO118" s="21">
        <f t="shared" si="90"/>
        <v>0</v>
      </c>
      <c r="DP118" s="21">
        <f t="shared" si="90"/>
        <v>0</v>
      </c>
      <c r="DQ118" s="21">
        <f t="shared" si="90"/>
        <v>0</v>
      </c>
      <c r="DR118" s="21">
        <f t="shared" si="90"/>
        <v>0</v>
      </c>
      <c r="DS118" s="21">
        <f t="shared" si="90"/>
        <v>0</v>
      </c>
      <c r="DT118" s="21">
        <f t="shared" si="90"/>
        <v>0</v>
      </c>
      <c r="DU118" s="21">
        <f t="shared" si="88"/>
        <v>0</v>
      </c>
      <c r="DV118" s="21">
        <f t="shared" si="85"/>
        <v>0</v>
      </c>
      <c r="DW118" s="21">
        <f t="shared" si="85"/>
        <v>12166587</v>
      </c>
      <c r="DX118" s="21">
        <f t="shared" si="85"/>
        <v>0</v>
      </c>
      <c r="DY118" s="21">
        <f t="shared" si="85"/>
        <v>0</v>
      </c>
      <c r="DZ118" s="21">
        <f t="shared" si="85"/>
        <v>0</v>
      </c>
      <c r="EA118" s="21">
        <f t="shared" si="85"/>
        <v>0</v>
      </c>
      <c r="EB118" s="21">
        <f t="shared" si="85"/>
        <v>0</v>
      </c>
      <c r="EE118" s="39">
        <f t="shared" si="71"/>
        <v>135400000</v>
      </c>
      <c r="EF118" s="39">
        <f t="shared" si="72"/>
        <v>123143153</v>
      </c>
    </row>
    <row r="119" spans="1:136" ht="19.5" hidden="1" customHeight="1" x14ac:dyDescent="0.25">
      <c r="A119" s="167"/>
      <c r="B119" s="172"/>
      <c r="C119" s="44" t="s">
        <v>343</v>
      </c>
      <c r="D119" s="29" t="s">
        <v>344</v>
      </c>
      <c r="E119" s="61">
        <v>211</v>
      </c>
      <c r="F119" s="20" t="s">
        <v>243</v>
      </c>
      <c r="G119" s="21">
        <f t="shared" si="80"/>
        <v>489600000</v>
      </c>
      <c r="H119" s="22">
        <v>416500000</v>
      </c>
      <c r="I119" s="22">
        <f t="shared" si="86"/>
        <v>-73100000</v>
      </c>
      <c r="J119" s="41"/>
      <c r="K119" s="21">
        <v>200000000</v>
      </c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>
        <f>165000000-15000000-40400000+90000000</f>
        <v>199600000</v>
      </c>
      <c r="AB119" s="21">
        <v>90000000</v>
      </c>
      <c r="AC119" s="21"/>
      <c r="AD119" s="21"/>
      <c r="AE119" s="21"/>
      <c r="AF119" s="21"/>
      <c r="AG119" s="23">
        <f t="shared" si="54"/>
        <v>0.96362906454248365</v>
      </c>
      <c r="AH119" s="21">
        <f t="shared" si="91"/>
        <v>471792790</v>
      </c>
      <c r="AI119" s="21"/>
      <c r="AJ119" s="21">
        <f>+'[1]Acuerdo PLAN INVERSIÓN 2021'!$J$7417</f>
        <v>199915580</v>
      </c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>
        <f>+'[1]Acuerdo PLAN INVERSIÓN 2021'!$X$7417</f>
        <v>189015277</v>
      </c>
      <c r="BA119" s="21">
        <f>+'[1]Acuerdo PLAN INVERSIÓN 2021'!$Y$7417</f>
        <v>82861933</v>
      </c>
      <c r="BB119" s="21"/>
      <c r="BC119" s="21"/>
      <c r="BD119" s="21"/>
      <c r="BE119" s="21"/>
      <c r="BF119" s="23">
        <f t="shared" si="57"/>
        <v>3.6370935457516351E-2</v>
      </c>
      <c r="BG119" s="21">
        <f t="shared" si="64"/>
        <v>17807210</v>
      </c>
      <c r="BH119" s="21">
        <f t="shared" si="89"/>
        <v>0</v>
      </c>
      <c r="BI119" s="21">
        <f t="shared" si="89"/>
        <v>84420</v>
      </c>
      <c r="BJ119" s="21">
        <f t="shared" si="89"/>
        <v>0</v>
      </c>
      <c r="BK119" s="21">
        <f t="shared" si="89"/>
        <v>0</v>
      </c>
      <c r="BL119" s="21">
        <f t="shared" si="89"/>
        <v>0</v>
      </c>
      <c r="BM119" s="21">
        <f t="shared" si="89"/>
        <v>0</v>
      </c>
      <c r="BN119" s="21">
        <f t="shared" si="89"/>
        <v>0</v>
      </c>
      <c r="BO119" s="21">
        <f t="shared" si="89"/>
        <v>0</v>
      </c>
      <c r="BP119" s="21">
        <f t="shared" si="89"/>
        <v>0</v>
      </c>
      <c r="BQ119" s="21">
        <f t="shared" si="89"/>
        <v>0</v>
      </c>
      <c r="BR119" s="21">
        <f t="shared" si="89"/>
        <v>0</v>
      </c>
      <c r="BS119" s="21">
        <f t="shared" si="89"/>
        <v>0</v>
      </c>
      <c r="BT119" s="21">
        <f t="shared" si="89"/>
        <v>0</v>
      </c>
      <c r="BU119" s="21">
        <f t="shared" si="89"/>
        <v>0</v>
      </c>
      <c r="BV119" s="21">
        <f t="shared" si="89"/>
        <v>0</v>
      </c>
      <c r="BW119" s="21">
        <f t="shared" si="87"/>
        <v>0</v>
      </c>
      <c r="BX119" s="21">
        <f t="shared" si="82"/>
        <v>0</v>
      </c>
      <c r="BY119" s="21">
        <f t="shared" si="82"/>
        <v>10584723</v>
      </c>
      <c r="BZ119" s="21">
        <f t="shared" si="82"/>
        <v>7138067</v>
      </c>
      <c r="CA119" s="21">
        <f t="shared" si="82"/>
        <v>0</v>
      </c>
      <c r="CB119" s="21">
        <f t="shared" si="82"/>
        <v>0</v>
      </c>
      <c r="CC119" s="21">
        <f t="shared" si="82"/>
        <v>0</v>
      </c>
      <c r="CD119" s="21">
        <f t="shared" si="82"/>
        <v>0</v>
      </c>
      <c r="CE119" s="23">
        <f t="shared" si="55"/>
        <v>0.96362906454248365</v>
      </c>
      <c r="CF119" s="21">
        <f t="shared" si="92"/>
        <v>471792790</v>
      </c>
      <c r="CG119" s="21"/>
      <c r="CH119" s="21">
        <f>+'[3]Acuerdo PLAN INVERSIÓN 2021'!$H$4992</f>
        <v>199915580</v>
      </c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>
        <f>+'[5]Acuerdo PLAN INVERSIÓN 2021'!$H$7036+'[5]Acuerdo PLAN INVERSIÓN 2021'!$H$7061+'[5]Acuerdo PLAN INVERSIÓN 2021'!$H$7067</f>
        <v>189015277</v>
      </c>
      <c r="CY119" s="21">
        <f>+'[5]Acuerdo PLAN INVERSIÓN 2021'!$H$7077</f>
        <v>82861933</v>
      </c>
      <c r="CZ119" s="21"/>
      <c r="DA119" s="21"/>
      <c r="DB119" s="21"/>
      <c r="DC119" s="21"/>
      <c r="DD119" s="23">
        <f t="shared" si="56"/>
        <v>3.6370935457516351E-2</v>
      </c>
      <c r="DE119" s="21">
        <f t="shared" si="83"/>
        <v>17807210</v>
      </c>
      <c r="DF119" s="21">
        <f t="shared" si="90"/>
        <v>0</v>
      </c>
      <c r="DG119" s="21">
        <f t="shared" si="90"/>
        <v>84420</v>
      </c>
      <c r="DH119" s="21">
        <f t="shared" si="90"/>
        <v>0</v>
      </c>
      <c r="DI119" s="21">
        <f t="shared" si="90"/>
        <v>0</v>
      </c>
      <c r="DJ119" s="21">
        <f t="shared" si="90"/>
        <v>0</v>
      </c>
      <c r="DK119" s="21">
        <f t="shared" si="90"/>
        <v>0</v>
      </c>
      <c r="DL119" s="21">
        <f t="shared" si="90"/>
        <v>0</v>
      </c>
      <c r="DM119" s="21">
        <f t="shared" si="90"/>
        <v>0</v>
      </c>
      <c r="DN119" s="21">
        <f t="shared" si="90"/>
        <v>0</v>
      </c>
      <c r="DO119" s="21">
        <f t="shared" si="90"/>
        <v>0</v>
      </c>
      <c r="DP119" s="21">
        <f t="shared" si="90"/>
        <v>0</v>
      </c>
      <c r="DQ119" s="21">
        <f t="shared" si="90"/>
        <v>0</v>
      </c>
      <c r="DR119" s="21">
        <f t="shared" si="90"/>
        <v>0</v>
      </c>
      <c r="DS119" s="21">
        <f t="shared" si="90"/>
        <v>0</v>
      </c>
      <c r="DT119" s="21">
        <f t="shared" si="90"/>
        <v>0</v>
      </c>
      <c r="DU119" s="21">
        <f t="shared" si="88"/>
        <v>0</v>
      </c>
      <c r="DV119" s="21">
        <f t="shared" si="85"/>
        <v>0</v>
      </c>
      <c r="DW119" s="21">
        <f t="shared" si="85"/>
        <v>10584723</v>
      </c>
      <c r="DX119" s="21">
        <f t="shared" si="85"/>
        <v>7138067</v>
      </c>
      <c r="DY119" s="21">
        <f t="shared" si="85"/>
        <v>0</v>
      </c>
      <c r="DZ119" s="21">
        <f t="shared" si="85"/>
        <v>0</v>
      </c>
      <c r="EA119" s="21">
        <f t="shared" si="85"/>
        <v>0</v>
      </c>
      <c r="EB119" s="21">
        <f t="shared" si="85"/>
        <v>0</v>
      </c>
      <c r="EE119" s="39">
        <f t="shared" si="71"/>
        <v>489600000</v>
      </c>
      <c r="EF119" s="39">
        <f t="shared" si="72"/>
        <v>471792790</v>
      </c>
    </row>
    <row r="120" spans="1:136" ht="27.75" hidden="1" customHeight="1" x14ac:dyDescent="0.25">
      <c r="A120" s="167"/>
      <c r="B120" s="173"/>
      <c r="C120" s="44" t="s">
        <v>345</v>
      </c>
      <c r="D120" s="29" t="s">
        <v>346</v>
      </c>
      <c r="E120" s="61">
        <v>211</v>
      </c>
      <c r="F120" s="20" t="s">
        <v>347</v>
      </c>
      <c r="G120" s="21">
        <f t="shared" si="80"/>
        <v>980852039</v>
      </c>
      <c r="H120" s="22">
        <v>520000000</v>
      </c>
      <c r="I120" s="22">
        <f t="shared" si="86"/>
        <v>-460852039</v>
      </c>
      <c r="J120" s="21">
        <f>60000000</f>
        <v>60000000</v>
      </c>
      <c r="K120" s="21">
        <v>200000000</v>
      </c>
      <c r="L120" s="21"/>
      <c r="M120" s="21">
        <f>10351839+362500200</f>
        <v>372852039</v>
      </c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>
        <v>340000000</v>
      </c>
      <c r="AB120" s="21"/>
      <c r="AC120" s="21"/>
      <c r="AD120" s="21"/>
      <c r="AE120" s="21"/>
      <c r="AF120" s="21">
        <v>8000000</v>
      </c>
      <c r="AG120" s="23">
        <f t="shared" si="54"/>
        <v>0.53249679180205078</v>
      </c>
      <c r="AH120" s="21">
        <f t="shared" si="91"/>
        <v>522300564</v>
      </c>
      <c r="AI120" s="21">
        <f>+'[1]Acuerdo PLAN INVERSIÓN 2021'!$L$7500</f>
        <v>11412775</v>
      </c>
      <c r="AJ120" s="21">
        <f>+'[1]Acuerdo PLAN INVERSIÓN 2021'!$J$7500</f>
        <v>199386400</v>
      </c>
      <c r="AK120" s="21"/>
      <c r="AL120" s="21">
        <f>+'[1]Acuerdo PLAN INVERSIÓN 2021'!$M$7500</f>
        <v>281162695</v>
      </c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>
        <f>+'[1]Acuerdo PLAN INVERSIÓN 2021'!$X$7500</f>
        <v>22338694</v>
      </c>
      <c r="BA120" s="21"/>
      <c r="BB120" s="21"/>
      <c r="BC120" s="21"/>
      <c r="BD120" s="21"/>
      <c r="BE120" s="21">
        <f>+'[5]Acuerdo PLAN INVERSIÓN 2021'!$AF$7093</f>
        <v>8000000</v>
      </c>
      <c r="BF120" s="23">
        <f t="shared" si="57"/>
        <v>0.46750320819794922</v>
      </c>
      <c r="BG120" s="21">
        <f t="shared" si="64"/>
        <v>458551475</v>
      </c>
      <c r="BH120" s="21">
        <f t="shared" si="89"/>
        <v>48587225</v>
      </c>
      <c r="BI120" s="21">
        <f t="shared" si="89"/>
        <v>613600</v>
      </c>
      <c r="BJ120" s="21">
        <f t="shared" si="89"/>
        <v>0</v>
      </c>
      <c r="BK120" s="21">
        <f t="shared" si="89"/>
        <v>91689344</v>
      </c>
      <c r="BL120" s="21">
        <f t="shared" si="89"/>
        <v>0</v>
      </c>
      <c r="BM120" s="21">
        <f t="shared" si="89"/>
        <v>0</v>
      </c>
      <c r="BN120" s="21">
        <f t="shared" si="89"/>
        <v>0</v>
      </c>
      <c r="BO120" s="21">
        <f t="shared" si="89"/>
        <v>0</v>
      </c>
      <c r="BP120" s="21">
        <f t="shared" si="89"/>
        <v>0</v>
      </c>
      <c r="BQ120" s="21">
        <f t="shared" si="89"/>
        <v>0</v>
      </c>
      <c r="BR120" s="21">
        <f t="shared" si="89"/>
        <v>0</v>
      </c>
      <c r="BS120" s="21">
        <f t="shared" si="89"/>
        <v>0</v>
      </c>
      <c r="BT120" s="21">
        <f t="shared" si="89"/>
        <v>0</v>
      </c>
      <c r="BU120" s="21">
        <f t="shared" si="89"/>
        <v>0</v>
      </c>
      <c r="BV120" s="21">
        <f t="shared" si="89"/>
        <v>0</v>
      </c>
      <c r="BW120" s="21">
        <f t="shared" si="87"/>
        <v>0</v>
      </c>
      <c r="BX120" s="21">
        <f t="shared" si="82"/>
        <v>0</v>
      </c>
      <c r="BY120" s="21">
        <f t="shared" si="82"/>
        <v>317661306</v>
      </c>
      <c r="BZ120" s="21">
        <f t="shared" si="82"/>
        <v>0</v>
      </c>
      <c r="CA120" s="21">
        <f t="shared" si="82"/>
        <v>0</v>
      </c>
      <c r="CB120" s="21">
        <f t="shared" si="82"/>
        <v>0</v>
      </c>
      <c r="CC120" s="21">
        <f t="shared" si="82"/>
        <v>0</v>
      </c>
      <c r="CD120" s="21">
        <f t="shared" si="82"/>
        <v>0</v>
      </c>
      <c r="CE120" s="23">
        <f t="shared" si="55"/>
        <v>0.53249679180205078</v>
      </c>
      <c r="CF120" s="21">
        <f t="shared" si="92"/>
        <v>522300564</v>
      </c>
      <c r="CG120" s="21">
        <f>+'[1]Acuerdo PLAN INVERSIÓN 2021'!$L$7500</f>
        <v>11412775</v>
      </c>
      <c r="CH120" s="21">
        <f>+'[1]Acuerdo PLAN INVERSIÓN 2021'!$J$7500</f>
        <v>199386400</v>
      </c>
      <c r="CI120" s="21"/>
      <c r="CJ120" s="21">
        <f>+'[1]Acuerdo PLAN INVERSIÓN 2021'!$M$7500</f>
        <v>281162695</v>
      </c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>
        <f>+'[1]Acuerdo PLAN INVERSIÓN 2021'!$X$7500</f>
        <v>22338694</v>
      </c>
      <c r="CY120" s="21"/>
      <c r="CZ120" s="21"/>
      <c r="DA120" s="21"/>
      <c r="DB120" s="21"/>
      <c r="DC120" s="21">
        <f>+'[5]Acuerdo PLAN INVERSIÓN 2021'!$AF$7093</f>
        <v>8000000</v>
      </c>
      <c r="DD120" s="23">
        <f t="shared" si="56"/>
        <v>0.46750320819794922</v>
      </c>
      <c r="DE120" s="21">
        <f t="shared" si="83"/>
        <v>458551475</v>
      </c>
      <c r="DF120" s="21">
        <f t="shared" si="90"/>
        <v>48587225</v>
      </c>
      <c r="DG120" s="21">
        <f t="shared" si="90"/>
        <v>613600</v>
      </c>
      <c r="DH120" s="21">
        <f t="shared" si="90"/>
        <v>0</v>
      </c>
      <c r="DI120" s="21">
        <f t="shared" si="90"/>
        <v>91689344</v>
      </c>
      <c r="DJ120" s="21">
        <f t="shared" si="90"/>
        <v>0</v>
      </c>
      <c r="DK120" s="21">
        <f t="shared" si="90"/>
        <v>0</v>
      </c>
      <c r="DL120" s="21">
        <f t="shared" si="90"/>
        <v>0</v>
      </c>
      <c r="DM120" s="21">
        <f t="shared" si="90"/>
        <v>0</v>
      </c>
      <c r="DN120" s="21">
        <f t="shared" si="90"/>
        <v>0</v>
      </c>
      <c r="DO120" s="21">
        <f t="shared" si="90"/>
        <v>0</v>
      </c>
      <c r="DP120" s="21">
        <f t="shared" si="90"/>
        <v>0</v>
      </c>
      <c r="DQ120" s="21">
        <f t="shared" si="90"/>
        <v>0</v>
      </c>
      <c r="DR120" s="21">
        <f t="shared" si="90"/>
        <v>0</v>
      </c>
      <c r="DS120" s="21">
        <f t="shared" si="90"/>
        <v>0</v>
      </c>
      <c r="DT120" s="21">
        <f t="shared" si="90"/>
        <v>0</v>
      </c>
      <c r="DU120" s="21">
        <f t="shared" si="88"/>
        <v>0</v>
      </c>
      <c r="DV120" s="21">
        <f t="shared" si="85"/>
        <v>0</v>
      </c>
      <c r="DW120" s="21">
        <f t="shared" si="85"/>
        <v>317661306</v>
      </c>
      <c r="DX120" s="21">
        <f t="shared" si="85"/>
        <v>0</v>
      </c>
      <c r="DY120" s="21">
        <f t="shared" si="85"/>
        <v>0</v>
      </c>
      <c r="DZ120" s="21">
        <f t="shared" si="85"/>
        <v>0</v>
      </c>
      <c r="EA120" s="21">
        <f t="shared" si="85"/>
        <v>0</v>
      </c>
      <c r="EB120" s="21">
        <f t="shared" si="85"/>
        <v>0</v>
      </c>
      <c r="EE120" s="39">
        <f t="shared" si="71"/>
        <v>980852039</v>
      </c>
      <c r="EF120" s="39">
        <f t="shared" si="72"/>
        <v>522300564</v>
      </c>
    </row>
    <row r="121" spans="1:136" ht="21" hidden="1" customHeight="1" x14ac:dyDescent="0.25">
      <c r="A121" s="167"/>
      <c r="B121" s="168" t="s">
        <v>348</v>
      </c>
      <c r="C121" s="44" t="s">
        <v>349</v>
      </c>
      <c r="D121" s="29" t="s">
        <v>350</v>
      </c>
      <c r="E121" s="61">
        <v>510</v>
      </c>
      <c r="F121" s="20" t="s">
        <v>243</v>
      </c>
      <c r="G121" s="21">
        <f t="shared" si="80"/>
        <v>170100000</v>
      </c>
      <c r="H121" s="22">
        <v>220000000</v>
      </c>
      <c r="I121" s="22">
        <f t="shared" si="86"/>
        <v>49900000</v>
      </c>
      <c r="J121" s="41"/>
      <c r="K121" s="21">
        <v>100000000</v>
      </c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>
        <f>80000000-9900000</f>
        <v>70100000</v>
      </c>
      <c r="AB121" s="21"/>
      <c r="AC121" s="21"/>
      <c r="AD121" s="21"/>
      <c r="AE121" s="21"/>
      <c r="AF121" s="21"/>
      <c r="AG121" s="23">
        <f t="shared" si="54"/>
        <v>0.82549789535567308</v>
      </c>
      <c r="AH121" s="21">
        <f t="shared" si="91"/>
        <v>140417192</v>
      </c>
      <c r="AI121" s="21"/>
      <c r="AJ121" s="21">
        <f>+'[1]Acuerdo PLAN INVERSIÓN 2021'!$J$7556</f>
        <v>97577197</v>
      </c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>
        <f>+'[1]Acuerdo PLAN INVERSIÓN 2021'!$X$7556</f>
        <v>42839995</v>
      </c>
      <c r="BA121" s="21"/>
      <c r="BB121" s="21"/>
      <c r="BC121" s="21"/>
      <c r="BD121" s="21"/>
      <c r="BE121" s="21"/>
      <c r="BF121" s="23">
        <f t="shared" si="57"/>
        <v>0.17450210464432692</v>
      </c>
      <c r="BG121" s="21">
        <f t="shared" si="64"/>
        <v>29682808</v>
      </c>
      <c r="BH121" s="21">
        <f t="shared" si="89"/>
        <v>0</v>
      </c>
      <c r="BI121" s="21">
        <f t="shared" si="89"/>
        <v>2422803</v>
      </c>
      <c r="BJ121" s="21">
        <f t="shared" si="89"/>
        <v>0</v>
      </c>
      <c r="BK121" s="21">
        <f t="shared" si="89"/>
        <v>0</v>
      </c>
      <c r="BL121" s="21">
        <f t="shared" si="89"/>
        <v>0</v>
      </c>
      <c r="BM121" s="21">
        <f t="shared" si="89"/>
        <v>0</v>
      </c>
      <c r="BN121" s="21">
        <f t="shared" si="89"/>
        <v>0</v>
      </c>
      <c r="BO121" s="21">
        <f t="shared" si="89"/>
        <v>0</v>
      </c>
      <c r="BP121" s="21">
        <f t="shared" si="89"/>
        <v>0</v>
      </c>
      <c r="BQ121" s="21">
        <f t="shared" si="89"/>
        <v>0</v>
      </c>
      <c r="BR121" s="21">
        <f t="shared" si="89"/>
        <v>0</v>
      </c>
      <c r="BS121" s="21">
        <f t="shared" si="89"/>
        <v>0</v>
      </c>
      <c r="BT121" s="21">
        <f t="shared" si="89"/>
        <v>0</v>
      </c>
      <c r="BU121" s="21">
        <f t="shared" si="89"/>
        <v>0</v>
      </c>
      <c r="BV121" s="21">
        <f t="shared" si="89"/>
        <v>0</v>
      </c>
      <c r="BW121" s="21">
        <f t="shared" si="87"/>
        <v>0</v>
      </c>
      <c r="BX121" s="21">
        <f t="shared" si="82"/>
        <v>0</v>
      </c>
      <c r="BY121" s="21">
        <f t="shared" si="82"/>
        <v>27260005</v>
      </c>
      <c r="BZ121" s="21">
        <f t="shared" si="82"/>
        <v>0</v>
      </c>
      <c r="CA121" s="21">
        <f t="shared" si="82"/>
        <v>0</v>
      </c>
      <c r="CB121" s="21">
        <f t="shared" si="82"/>
        <v>0</v>
      </c>
      <c r="CC121" s="21">
        <f t="shared" si="82"/>
        <v>0</v>
      </c>
      <c r="CD121" s="21">
        <f t="shared" si="82"/>
        <v>0</v>
      </c>
      <c r="CE121" s="23">
        <f t="shared" si="55"/>
        <v>0.82549789535567308</v>
      </c>
      <c r="CF121" s="21">
        <f t="shared" si="92"/>
        <v>140417192</v>
      </c>
      <c r="CG121" s="21"/>
      <c r="CH121" s="21">
        <f>+'[1]Acuerdo PLAN INVERSIÓN 2021'!$J$7556</f>
        <v>97577197</v>
      </c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>
        <f>+'[1]Acuerdo PLAN INVERSIÓN 2021'!$X$7556</f>
        <v>42839995</v>
      </c>
      <c r="CY121" s="21"/>
      <c r="CZ121" s="21"/>
      <c r="DA121" s="21"/>
      <c r="DB121" s="21"/>
      <c r="DC121" s="21"/>
      <c r="DD121" s="23">
        <f t="shared" si="56"/>
        <v>0.17450210464432692</v>
      </c>
      <c r="DE121" s="21">
        <f t="shared" si="83"/>
        <v>29682808</v>
      </c>
      <c r="DF121" s="21">
        <f t="shared" si="90"/>
        <v>0</v>
      </c>
      <c r="DG121" s="21">
        <f t="shared" si="90"/>
        <v>2422803</v>
      </c>
      <c r="DH121" s="21">
        <f t="shared" si="90"/>
        <v>0</v>
      </c>
      <c r="DI121" s="21">
        <f t="shared" si="90"/>
        <v>0</v>
      </c>
      <c r="DJ121" s="21">
        <f t="shared" si="90"/>
        <v>0</v>
      </c>
      <c r="DK121" s="21">
        <f t="shared" si="90"/>
        <v>0</v>
      </c>
      <c r="DL121" s="21">
        <f t="shared" si="90"/>
        <v>0</v>
      </c>
      <c r="DM121" s="21">
        <f t="shared" si="90"/>
        <v>0</v>
      </c>
      <c r="DN121" s="21">
        <f t="shared" si="90"/>
        <v>0</v>
      </c>
      <c r="DO121" s="21">
        <f t="shared" si="90"/>
        <v>0</v>
      </c>
      <c r="DP121" s="21">
        <f t="shared" si="90"/>
        <v>0</v>
      </c>
      <c r="DQ121" s="21">
        <f t="shared" si="90"/>
        <v>0</v>
      </c>
      <c r="DR121" s="21">
        <f t="shared" si="90"/>
        <v>0</v>
      </c>
      <c r="DS121" s="21">
        <f t="shared" si="90"/>
        <v>0</v>
      </c>
      <c r="DT121" s="21">
        <f t="shared" si="90"/>
        <v>0</v>
      </c>
      <c r="DU121" s="21">
        <f t="shared" si="88"/>
        <v>0</v>
      </c>
      <c r="DV121" s="21">
        <f t="shared" si="85"/>
        <v>0</v>
      </c>
      <c r="DW121" s="21">
        <f t="shared" si="85"/>
        <v>27260005</v>
      </c>
      <c r="DX121" s="21">
        <f t="shared" si="85"/>
        <v>0</v>
      </c>
      <c r="DY121" s="21">
        <f t="shared" si="85"/>
        <v>0</v>
      </c>
      <c r="DZ121" s="21">
        <f t="shared" si="85"/>
        <v>0</v>
      </c>
      <c r="EA121" s="21">
        <f t="shared" si="85"/>
        <v>0</v>
      </c>
      <c r="EB121" s="21">
        <f t="shared" si="85"/>
        <v>0</v>
      </c>
      <c r="EE121" s="39">
        <f t="shared" si="71"/>
        <v>170100000</v>
      </c>
      <c r="EF121" s="39">
        <f t="shared" si="72"/>
        <v>140417192</v>
      </c>
    </row>
    <row r="122" spans="1:136" ht="31.5" hidden="1" customHeight="1" x14ac:dyDescent="0.25">
      <c r="A122" s="167"/>
      <c r="B122" s="168"/>
      <c r="C122" s="44" t="s">
        <v>351</v>
      </c>
      <c r="D122" s="29" t="s">
        <v>352</v>
      </c>
      <c r="E122" s="61">
        <v>510</v>
      </c>
      <c r="F122" s="20" t="s">
        <v>243</v>
      </c>
      <c r="G122" s="21">
        <f t="shared" si="80"/>
        <v>5807000</v>
      </c>
      <c r="H122" s="22">
        <v>80000000</v>
      </c>
      <c r="I122" s="22">
        <f t="shared" si="86"/>
        <v>74193000</v>
      </c>
      <c r="J122" s="41"/>
      <c r="K122" s="21">
        <f>20000000-10000000-4193000</f>
        <v>5807000</v>
      </c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3">
        <f t="shared" si="54"/>
        <v>0.95516893404511793</v>
      </c>
      <c r="AH122" s="21">
        <f t="shared" si="91"/>
        <v>5546666</v>
      </c>
      <c r="AI122" s="21"/>
      <c r="AJ122" s="21">
        <f>+'[1]Acuerdo PLAN INVERSIÓN 2021'!$J$7589</f>
        <v>5546666</v>
      </c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3">
        <f t="shared" si="57"/>
        <v>4.4831065954882066E-2</v>
      </c>
      <c r="BG122" s="21">
        <f t="shared" si="64"/>
        <v>260334</v>
      </c>
      <c r="BH122" s="21">
        <f t="shared" si="89"/>
        <v>0</v>
      </c>
      <c r="BI122" s="21">
        <f t="shared" si="89"/>
        <v>260334</v>
      </c>
      <c r="BJ122" s="21">
        <f t="shared" si="89"/>
        <v>0</v>
      </c>
      <c r="BK122" s="21">
        <f t="shared" si="89"/>
        <v>0</v>
      </c>
      <c r="BL122" s="21">
        <f t="shared" si="89"/>
        <v>0</v>
      </c>
      <c r="BM122" s="21">
        <f t="shared" si="89"/>
        <v>0</v>
      </c>
      <c r="BN122" s="21">
        <f t="shared" si="89"/>
        <v>0</v>
      </c>
      <c r="BO122" s="21">
        <f t="shared" si="89"/>
        <v>0</v>
      </c>
      <c r="BP122" s="21">
        <f t="shared" si="89"/>
        <v>0</v>
      </c>
      <c r="BQ122" s="21">
        <f t="shared" si="89"/>
        <v>0</v>
      </c>
      <c r="BR122" s="21">
        <f t="shared" si="89"/>
        <v>0</v>
      </c>
      <c r="BS122" s="21">
        <f t="shared" si="89"/>
        <v>0</v>
      </c>
      <c r="BT122" s="21">
        <f t="shared" si="89"/>
        <v>0</v>
      </c>
      <c r="BU122" s="21">
        <f t="shared" si="89"/>
        <v>0</v>
      </c>
      <c r="BV122" s="21">
        <f t="shared" si="89"/>
        <v>0</v>
      </c>
      <c r="BW122" s="21">
        <f t="shared" si="87"/>
        <v>0</v>
      </c>
      <c r="BX122" s="21">
        <f t="shared" si="82"/>
        <v>0</v>
      </c>
      <c r="BY122" s="21">
        <f t="shared" si="82"/>
        <v>0</v>
      </c>
      <c r="BZ122" s="21">
        <f t="shared" si="82"/>
        <v>0</v>
      </c>
      <c r="CA122" s="21">
        <f t="shared" si="82"/>
        <v>0</v>
      </c>
      <c r="CB122" s="21">
        <f t="shared" si="82"/>
        <v>0</v>
      </c>
      <c r="CC122" s="21">
        <f t="shared" si="82"/>
        <v>0</v>
      </c>
      <c r="CD122" s="21">
        <f t="shared" si="82"/>
        <v>0</v>
      </c>
      <c r="CE122" s="23">
        <f t="shared" si="55"/>
        <v>0.95516893404511793</v>
      </c>
      <c r="CF122" s="21">
        <f t="shared" si="92"/>
        <v>5546666</v>
      </c>
      <c r="CG122" s="21"/>
      <c r="CH122" s="21">
        <f>+'[1]Acuerdo PLAN INVERSIÓN 2021'!$H$7586</f>
        <v>5546666</v>
      </c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3">
        <f t="shared" si="56"/>
        <v>4.4831065954882066E-2</v>
      </c>
      <c r="DE122" s="21">
        <f t="shared" si="83"/>
        <v>260334</v>
      </c>
      <c r="DF122" s="21">
        <f t="shared" si="90"/>
        <v>0</v>
      </c>
      <c r="DG122" s="21">
        <f t="shared" si="90"/>
        <v>260334</v>
      </c>
      <c r="DH122" s="21">
        <f t="shared" si="90"/>
        <v>0</v>
      </c>
      <c r="DI122" s="21">
        <f t="shared" si="90"/>
        <v>0</v>
      </c>
      <c r="DJ122" s="21">
        <f t="shared" si="90"/>
        <v>0</v>
      </c>
      <c r="DK122" s="21">
        <f t="shared" si="90"/>
        <v>0</v>
      </c>
      <c r="DL122" s="21">
        <f t="shared" si="90"/>
        <v>0</v>
      </c>
      <c r="DM122" s="21">
        <f t="shared" si="90"/>
        <v>0</v>
      </c>
      <c r="DN122" s="21">
        <f t="shared" si="90"/>
        <v>0</v>
      </c>
      <c r="DO122" s="21">
        <f t="shared" si="90"/>
        <v>0</v>
      </c>
      <c r="DP122" s="21">
        <f t="shared" si="90"/>
        <v>0</v>
      </c>
      <c r="DQ122" s="21">
        <f t="shared" si="90"/>
        <v>0</v>
      </c>
      <c r="DR122" s="21">
        <f t="shared" si="90"/>
        <v>0</v>
      </c>
      <c r="DS122" s="21">
        <f t="shared" si="90"/>
        <v>0</v>
      </c>
      <c r="DT122" s="21">
        <f t="shared" si="90"/>
        <v>0</v>
      </c>
      <c r="DU122" s="21">
        <f t="shared" si="88"/>
        <v>0</v>
      </c>
      <c r="DV122" s="21">
        <f t="shared" si="85"/>
        <v>0</v>
      </c>
      <c r="DW122" s="21">
        <f t="shared" si="85"/>
        <v>0</v>
      </c>
      <c r="DX122" s="21">
        <f t="shared" si="85"/>
        <v>0</v>
      </c>
      <c r="DY122" s="21">
        <f t="shared" si="85"/>
        <v>0</v>
      </c>
      <c r="DZ122" s="21">
        <f t="shared" si="85"/>
        <v>0</v>
      </c>
      <c r="EA122" s="21">
        <f t="shared" si="85"/>
        <v>0</v>
      </c>
      <c r="EB122" s="21">
        <f t="shared" si="85"/>
        <v>0</v>
      </c>
      <c r="EE122" s="39">
        <f t="shared" si="71"/>
        <v>5807000</v>
      </c>
      <c r="EF122" s="39">
        <f t="shared" si="72"/>
        <v>5546666</v>
      </c>
    </row>
    <row r="123" spans="1:136" ht="21" hidden="1" customHeight="1" x14ac:dyDescent="0.25">
      <c r="A123" s="167"/>
      <c r="B123" s="168"/>
      <c r="C123" s="44" t="s">
        <v>353</v>
      </c>
      <c r="D123" s="29" t="s">
        <v>354</v>
      </c>
      <c r="E123" s="61">
        <v>510</v>
      </c>
      <c r="F123" s="20" t="s">
        <v>243</v>
      </c>
      <c r="G123" s="21">
        <f t="shared" si="80"/>
        <v>190000000</v>
      </c>
      <c r="H123" s="22">
        <v>280000000</v>
      </c>
      <c r="I123" s="22">
        <f t="shared" si="86"/>
        <v>90000000</v>
      </c>
      <c r="J123" s="41"/>
      <c r="K123" s="21">
        <v>100000000</v>
      </c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>
        <v>90000000</v>
      </c>
      <c r="AB123" s="21"/>
      <c r="AC123" s="21"/>
      <c r="AD123" s="21"/>
      <c r="AE123" s="21"/>
      <c r="AF123" s="21"/>
      <c r="AG123" s="23">
        <f t="shared" si="54"/>
        <v>0.93116412631578949</v>
      </c>
      <c r="AH123" s="21">
        <f t="shared" si="91"/>
        <v>176921184</v>
      </c>
      <c r="AI123" s="21"/>
      <c r="AJ123" s="21">
        <f>+'[1]Acuerdo PLAN INVERSIÓN 2021'!$J$7594</f>
        <v>90046667</v>
      </c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>
        <f>+'[1]Acuerdo PLAN INVERSIÓN 2021'!$X$7594</f>
        <v>86874517</v>
      </c>
      <c r="BA123" s="21"/>
      <c r="BB123" s="21"/>
      <c r="BC123" s="21"/>
      <c r="BD123" s="21"/>
      <c r="BE123" s="21"/>
      <c r="BF123" s="23">
        <f t="shared" si="57"/>
        <v>6.8835873684210513E-2</v>
      </c>
      <c r="BG123" s="21">
        <f t="shared" si="64"/>
        <v>13078816</v>
      </c>
      <c r="BH123" s="21">
        <f t="shared" si="89"/>
        <v>0</v>
      </c>
      <c r="BI123" s="21">
        <f t="shared" si="89"/>
        <v>9953333</v>
      </c>
      <c r="BJ123" s="21">
        <f t="shared" si="89"/>
        <v>0</v>
      </c>
      <c r="BK123" s="21">
        <f t="shared" si="89"/>
        <v>0</v>
      </c>
      <c r="BL123" s="21">
        <f t="shared" si="89"/>
        <v>0</v>
      </c>
      <c r="BM123" s="21">
        <f t="shared" si="89"/>
        <v>0</v>
      </c>
      <c r="BN123" s="21">
        <f t="shared" si="89"/>
        <v>0</v>
      </c>
      <c r="BO123" s="21">
        <f t="shared" si="89"/>
        <v>0</v>
      </c>
      <c r="BP123" s="21">
        <f t="shared" si="89"/>
        <v>0</v>
      </c>
      <c r="BQ123" s="21">
        <f t="shared" si="89"/>
        <v>0</v>
      </c>
      <c r="BR123" s="21">
        <f t="shared" si="89"/>
        <v>0</v>
      </c>
      <c r="BS123" s="21">
        <f t="shared" si="89"/>
        <v>0</v>
      </c>
      <c r="BT123" s="21">
        <f t="shared" si="89"/>
        <v>0</v>
      </c>
      <c r="BU123" s="21">
        <f t="shared" si="89"/>
        <v>0</v>
      </c>
      <c r="BV123" s="21">
        <f t="shared" si="89"/>
        <v>0</v>
      </c>
      <c r="BW123" s="21">
        <f t="shared" si="87"/>
        <v>0</v>
      </c>
      <c r="BX123" s="21">
        <f t="shared" si="82"/>
        <v>0</v>
      </c>
      <c r="BY123" s="21">
        <f t="shared" si="82"/>
        <v>3125483</v>
      </c>
      <c r="BZ123" s="21">
        <f t="shared" si="82"/>
        <v>0</v>
      </c>
      <c r="CA123" s="21">
        <f t="shared" si="82"/>
        <v>0</v>
      </c>
      <c r="CB123" s="21">
        <f t="shared" si="82"/>
        <v>0</v>
      </c>
      <c r="CC123" s="21">
        <f t="shared" si="82"/>
        <v>0</v>
      </c>
      <c r="CD123" s="21">
        <f t="shared" si="82"/>
        <v>0</v>
      </c>
      <c r="CE123" s="23">
        <f t="shared" si="55"/>
        <v>0.93116412631578949</v>
      </c>
      <c r="CF123" s="21">
        <f t="shared" si="92"/>
        <v>176921184</v>
      </c>
      <c r="CG123" s="21"/>
      <c r="CH123" s="21">
        <f>+'[1]Acuerdo PLAN INVERSIÓN 2021'!$J$7594</f>
        <v>90046667</v>
      </c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>
        <f>+'[1]Acuerdo PLAN INVERSIÓN 2021'!$X$7594</f>
        <v>86874517</v>
      </c>
      <c r="CY123" s="21"/>
      <c r="CZ123" s="21"/>
      <c r="DA123" s="21"/>
      <c r="DB123" s="21"/>
      <c r="DC123" s="21"/>
      <c r="DD123" s="23">
        <f t="shared" si="56"/>
        <v>6.8835873684210513E-2</v>
      </c>
      <c r="DE123" s="21">
        <f t="shared" si="83"/>
        <v>13078816</v>
      </c>
      <c r="DF123" s="21">
        <f t="shared" si="90"/>
        <v>0</v>
      </c>
      <c r="DG123" s="21">
        <f t="shared" si="90"/>
        <v>9953333</v>
      </c>
      <c r="DH123" s="21">
        <f t="shared" si="90"/>
        <v>0</v>
      </c>
      <c r="DI123" s="21">
        <f t="shared" si="90"/>
        <v>0</v>
      </c>
      <c r="DJ123" s="21">
        <f t="shared" si="90"/>
        <v>0</v>
      </c>
      <c r="DK123" s="21">
        <f t="shared" si="90"/>
        <v>0</v>
      </c>
      <c r="DL123" s="21">
        <f t="shared" si="90"/>
        <v>0</v>
      </c>
      <c r="DM123" s="21">
        <f t="shared" si="90"/>
        <v>0</v>
      </c>
      <c r="DN123" s="21">
        <f t="shared" si="90"/>
        <v>0</v>
      </c>
      <c r="DO123" s="21">
        <f t="shared" si="90"/>
        <v>0</v>
      </c>
      <c r="DP123" s="21">
        <f t="shared" si="90"/>
        <v>0</v>
      </c>
      <c r="DQ123" s="21">
        <f t="shared" si="90"/>
        <v>0</v>
      </c>
      <c r="DR123" s="21">
        <f t="shared" si="90"/>
        <v>0</v>
      </c>
      <c r="DS123" s="21">
        <f t="shared" si="90"/>
        <v>0</v>
      </c>
      <c r="DT123" s="21">
        <f t="shared" si="90"/>
        <v>0</v>
      </c>
      <c r="DU123" s="21">
        <f t="shared" si="88"/>
        <v>0</v>
      </c>
      <c r="DV123" s="21">
        <f t="shared" si="85"/>
        <v>0</v>
      </c>
      <c r="DW123" s="21">
        <f t="shared" si="85"/>
        <v>3125483</v>
      </c>
      <c r="DX123" s="21">
        <f t="shared" si="85"/>
        <v>0</v>
      </c>
      <c r="DY123" s="21">
        <f t="shared" si="85"/>
        <v>0</v>
      </c>
      <c r="DZ123" s="21">
        <f t="shared" si="85"/>
        <v>0</v>
      </c>
      <c r="EA123" s="21">
        <f t="shared" si="85"/>
        <v>0</v>
      </c>
      <c r="EB123" s="21">
        <f t="shared" si="85"/>
        <v>0</v>
      </c>
      <c r="EE123" s="39">
        <f t="shared" si="71"/>
        <v>190000000</v>
      </c>
      <c r="EF123" s="39">
        <f t="shared" si="72"/>
        <v>176921184</v>
      </c>
    </row>
    <row r="124" spans="1:136" ht="21.75" hidden="1" customHeight="1" x14ac:dyDescent="0.25">
      <c r="A124" s="167"/>
      <c r="B124" s="168"/>
      <c r="C124" s="44" t="s">
        <v>355</v>
      </c>
      <c r="D124" s="29" t="s">
        <v>356</v>
      </c>
      <c r="E124" s="61">
        <v>510</v>
      </c>
      <c r="F124" s="20" t="s">
        <v>243</v>
      </c>
      <c r="G124" s="21">
        <f t="shared" si="80"/>
        <v>194900000</v>
      </c>
      <c r="H124" s="22">
        <v>200000000</v>
      </c>
      <c r="I124" s="22">
        <f t="shared" si="86"/>
        <v>5100000</v>
      </c>
      <c r="J124" s="41"/>
      <c r="K124" s="21">
        <f>90000000+10000000</f>
        <v>100000000</v>
      </c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>
        <f>75000000+9900000</f>
        <v>84900000</v>
      </c>
      <c r="AB124" s="21">
        <v>10000000</v>
      </c>
      <c r="AC124" s="21"/>
      <c r="AD124" s="21"/>
      <c r="AE124" s="21"/>
      <c r="AF124" s="21"/>
      <c r="AG124" s="23">
        <f t="shared" si="54"/>
        <v>0.97456015392508977</v>
      </c>
      <c r="AH124" s="21">
        <f t="shared" si="91"/>
        <v>189941774</v>
      </c>
      <c r="AI124" s="21"/>
      <c r="AJ124" s="21">
        <f>+'[1]Acuerdo PLAN INVERSIÓN 2021'!$J$7632</f>
        <v>99986417</v>
      </c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>
        <f>+'[1]Acuerdo PLAN INVERSIÓN 2021'!$X$7632</f>
        <v>79955357</v>
      </c>
      <c r="BA124" s="21">
        <f>+'[8]Acuerdo PLAN INVERSIÓN 2021'!$Y$6182</f>
        <v>10000000</v>
      </c>
      <c r="BB124" s="21"/>
      <c r="BC124" s="21"/>
      <c r="BD124" s="21"/>
      <c r="BE124" s="21"/>
      <c r="BF124" s="23">
        <f t="shared" si="57"/>
        <v>2.5439846074910233E-2</v>
      </c>
      <c r="BG124" s="21">
        <f t="shared" si="64"/>
        <v>4958226</v>
      </c>
      <c r="BH124" s="21">
        <f t="shared" si="89"/>
        <v>0</v>
      </c>
      <c r="BI124" s="21">
        <f t="shared" si="89"/>
        <v>13583</v>
      </c>
      <c r="BJ124" s="21">
        <f t="shared" si="89"/>
        <v>0</v>
      </c>
      <c r="BK124" s="21">
        <f t="shared" si="89"/>
        <v>0</v>
      </c>
      <c r="BL124" s="21">
        <f t="shared" si="89"/>
        <v>0</v>
      </c>
      <c r="BM124" s="21">
        <f t="shared" si="89"/>
        <v>0</v>
      </c>
      <c r="BN124" s="21">
        <f t="shared" si="89"/>
        <v>0</v>
      </c>
      <c r="BO124" s="21">
        <f t="shared" si="89"/>
        <v>0</v>
      </c>
      <c r="BP124" s="21">
        <f t="shared" si="89"/>
        <v>0</v>
      </c>
      <c r="BQ124" s="21">
        <f t="shared" si="89"/>
        <v>0</v>
      </c>
      <c r="BR124" s="21">
        <f t="shared" si="89"/>
        <v>0</v>
      </c>
      <c r="BS124" s="21">
        <f t="shared" si="89"/>
        <v>0</v>
      </c>
      <c r="BT124" s="21">
        <f t="shared" si="89"/>
        <v>0</v>
      </c>
      <c r="BU124" s="21">
        <f t="shared" si="89"/>
        <v>0</v>
      </c>
      <c r="BV124" s="21">
        <f t="shared" si="89"/>
        <v>0</v>
      </c>
      <c r="BW124" s="21">
        <f t="shared" si="87"/>
        <v>0</v>
      </c>
      <c r="BX124" s="21">
        <f t="shared" si="82"/>
        <v>0</v>
      </c>
      <c r="BY124" s="21">
        <f t="shared" si="82"/>
        <v>4944643</v>
      </c>
      <c r="BZ124" s="21">
        <f t="shared" si="82"/>
        <v>0</v>
      </c>
      <c r="CA124" s="21">
        <f t="shared" si="82"/>
        <v>0</v>
      </c>
      <c r="CB124" s="21">
        <f t="shared" si="82"/>
        <v>0</v>
      </c>
      <c r="CC124" s="21">
        <f t="shared" si="82"/>
        <v>0</v>
      </c>
      <c r="CD124" s="21">
        <f t="shared" si="82"/>
        <v>0</v>
      </c>
      <c r="CE124" s="23">
        <f t="shared" si="55"/>
        <v>0.97456015392508977</v>
      </c>
      <c r="CF124" s="21">
        <f t="shared" si="92"/>
        <v>189941774</v>
      </c>
      <c r="CG124" s="21"/>
      <c r="CH124" s="21">
        <f>+'[1]Acuerdo PLAN INVERSIÓN 2021'!$J$7632</f>
        <v>99986417</v>
      </c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>
        <f>+'[1]Acuerdo PLAN INVERSIÓN 2021'!$X$7632</f>
        <v>79955357</v>
      </c>
      <c r="CY124" s="21">
        <f>+'[8]Acuerdo PLAN INVERSIÓN 2021'!$Y$6182</f>
        <v>10000000</v>
      </c>
      <c r="CZ124" s="21"/>
      <c r="DA124" s="21"/>
      <c r="DB124" s="21"/>
      <c r="DC124" s="21"/>
      <c r="DD124" s="23">
        <f t="shared" si="56"/>
        <v>2.5439846074910233E-2</v>
      </c>
      <c r="DE124" s="21">
        <f t="shared" si="83"/>
        <v>4958226</v>
      </c>
      <c r="DF124" s="21">
        <f t="shared" si="90"/>
        <v>0</v>
      </c>
      <c r="DG124" s="21">
        <f t="shared" si="90"/>
        <v>13583</v>
      </c>
      <c r="DH124" s="21">
        <f t="shared" si="90"/>
        <v>0</v>
      </c>
      <c r="DI124" s="21">
        <f t="shared" si="90"/>
        <v>0</v>
      </c>
      <c r="DJ124" s="21">
        <f t="shared" si="90"/>
        <v>0</v>
      </c>
      <c r="DK124" s="21">
        <f t="shared" si="90"/>
        <v>0</v>
      </c>
      <c r="DL124" s="21">
        <f t="shared" si="90"/>
        <v>0</v>
      </c>
      <c r="DM124" s="21">
        <f t="shared" si="90"/>
        <v>0</v>
      </c>
      <c r="DN124" s="21">
        <f t="shared" si="90"/>
        <v>0</v>
      </c>
      <c r="DO124" s="21">
        <f t="shared" si="90"/>
        <v>0</v>
      </c>
      <c r="DP124" s="21">
        <f t="shared" si="90"/>
        <v>0</v>
      </c>
      <c r="DQ124" s="21">
        <f t="shared" si="90"/>
        <v>0</v>
      </c>
      <c r="DR124" s="21">
        <f t="shared" si="90"/>
        <v>0</v>
      </c>
      <c r="DS124" s="21">
        <f t="shared" si="90"/>
        <v>0</v>
      </c>
      <c r="DT124" s="21">
        <f t="shared" si="90"/>
        <v>0</v>
      </c>
      <c r="DU124" s="21">
        <f t="shared" si="88"/>
        <v>0</v>
      </c>
      <c r="DV124" s="21">
        <f t="shared" si="85"/>
        <v>0</v>
      </c>
      <c r="DW124" s="21">
        <f t="shared" si="85"/>
        <v>4944643</v>
      </c>
      <c r="DX124" s="21">
        <f t="shared" si="85"/>
        <v>0</v>
      </c>
      <c r="DY124" s="21">
        <f t="shared" si="85"/>
        <v>0</v>
      </c>
      <c r="DZ124" s="21">
        <f t="shared" si="85"/>
        <v>0</v>
      </c>
      <c r="EA124" s="21">
        <f t="shared" si="85"/>
        <v>0</v>
      </c>
      <c r="EB124" s="21">
        <f t="shared" si="85"/>
        <v>0</v>
      </c>
      <c r="EE124" s="39">
        <f t="shared" si="71"/>
        <v>194900000</v>
      </c>
      <c r="EF124" s="39">
        <f t="shared" si="72"/>
        <v>189941774</v>
      </c>
    </row>
    <row r="125" spans="1:136" ht="32.4" hidden="1" customHeight="1" x14ac:dyDescent="0.25">
      <c r="A125" s="167"/>
      <c r="B125" s="168"/>
      <c r="C125" s="44" t="s">
        <v>357</v>
      </c>
      <c r="D125" s="29" t="s">
        <v>358</v>
      </c>
      <c r="E125" s="61">
        <v>510</v>
      </c>
      <c r="F125" s="20" t="s">
        <v>243</v>
      </c>
      <c r="G125" s="21">
        <f t="shared" si="80"/>
        <v>90000000</v>
      </c>
      <c r="H125" s="22">
        <v>200000000</v>
      </c>
      <c r="I125" s="22">
        <f t="shared" si="86"/>
        <v>110000000</v>
      </c>
      <c r="J125" s="41"/>
      <c r="K125" s="21">
        <v>60000000</v>
      </c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>
        <f>30000000</f>
        <v>30000000</v>
      </c>
      <c r="AC125" s="21"/>
      <c r="AD125" s="21"/>
      <c r="AE125" s="21"/>
      <c r="AF125" s="21"/>
      <c r="AG125" s="23">
        <f t="shared" si="54"/>
        <v>0.9870370444444444</v>
      </c>
      <c r="AH125" s="21">
        <f t="shared" si="91"/>
        <v>88833334</v>
      </c>
      <c r="AI125" s="21"/>
      <c r="AJ125" s="21">
        <f>+'[1]Acuerdo PLAN INVERSIÓN 2021'!$J$7700</f>
        <v>59500000</v>
      </c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>
        <f>+'[1]Acuerdo PLAN INVERSIÓN 2021'!$Y$7700</f>
        <v>29333334</v>
      </c>
      <c r="BB125" s="21"/>
      <c r="BC125" s="21"/>
      <c r="BD125" s="21"/>
      <c r="BE125" s="21"/>
      <c r="BF125" s="23">
        <f t="shared" si="57"/>
        <v>1.29629555555556E-2</v>
      </c>
      <c r="BG125" s="21">
        <f t="shared" si="64"/>
        <v>1166666</v>
      </c>
      <c r="BH125" s="21">
        <f t="shared" si="89"/>
        <v>0</v>
      </c>
      <c r="BI125" s="21">
        <f t="shared" si="89"/>
        <v>500000</v>
      </c>
      <c r="BJ125" s="21">
        <f t="shared" si="89"/>
        <v>0</v>
      </c>
      <c r="BK125" s="21">
        <f t="shared" si="89"/>
        <v>0</v>
      </c>
      <c r="BL125" s="21">
        <f t="shared" si="89"/>
        <v>0</v>
      </c>
      <c r="BM125" s="21">
        <f t="shared" si="89"/>
        <v>0</v>
      </c>
      <c r="BN125" s="21">
        <f t="shared" si="89"/>
        <v>0</v>
      </c>
      <c r="BO125" s="21">
        <f t="shared" si="89"/>
        <v>0</v>
      </c>
      <c r="BP125" s="21">
        <f t="shared" si="89"/>
        <v>0</v>
      </c>
      <c r="BQ125" s="21">
        <f t="shared" si="89"/>
        <v>0</v>
      </c>
      <c r="BR125" s="21">
        <f t="shared" si="89"/>
        <v>0</v>
      </c>
      <c r="BS125" s="21">
        <f t="shared" si="89"/>
        <v>0</v>
      </c>
      <c r="BT125" s="21">
        <f t="shared" si="89"/>
        <v>0</v>
      </c>
      <c r="BU125" s="21">
        <f t="shared" si="89"/>
        <v>0</v>
      </c>
      <c r="BV125" s="21">
        <f t="shared" si="89"/>
        <v>0</v>
      </c>
      <c r="BW125" s="21">
        <f t="shared" si="87"/>
        <v>0</v>
      </c>
      <c r="BX125" s="21">
        <f t="shared" si="82"/>
        <v>0</v>
      </c>
      <c r="BY125" s="21">
        <f t="shared" si="82"/>
        <v>0</v>
      </c>
      <c r="BZ125" s="21">
        <f t="shared" si="82"/>
        <v>666666</v>
      </c>
      <c r="CA125" s="21">
        <f t="shared" si="82"/>
        <v>0</v>
      </c>
      <c r="CB125" s="21">
        <f t="shared" si="82"/>
        <v>0</v>
      </c>
      <c r="CC125" s="21">
        <f t="shared" si="82"/>
        <v>0</v>
      </c>
      <c r="CD125" s="21">
        <f t="shared" si="82"/>
        <v>0</v>
      </c>
      <c r="CE125" s="23">
        <f t="shared" si="55"/>
        <v>0.9870370444444444</v>
      </c>
      <c r="CF125" s="21">
        <f t="shared" si="92"/>
        <v>88833334</v>
      </c>
      <c r="CG125" s="21"/>
      <c r="CH125" s="21">
        <f>+'[1]Acuerdo PLAN INVERSIÓN 2021'!$J$7700</f>
        <v>59500000</v>
      </c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>
        <f>+'[1]Acuerdo PLAN INVERSIÓN 2021'!$Y$7700</f>
        <v>29333334</v>
      </c>
      <c r="CZ125" s="21"/>
      <c r="DA125" s="21"/>
      <c r="DB125" s="21"/>
      <c r="DC125" s="21"/>
      <c r="DD125" s="23">
        <f t="shared" si="56"/>
        <v>1.29629555555556E-2</v>
      </c>
      <c r="DE125" s="21">
        <f t="shared" si="83"/>
        <v>1166666</v>
      </c>
      <c r="DF125" s="21">
        <f t="shared" si="90"/>
        <v>0</v>
      </c>
      <c r="DG125" s="21">
        <f t="shared" si="90"/>
        <v>500000</v>
      </c>
      <c r="DH125" s="21">
        <f t="shared" si="90"/>
        <v>0</v>
      </c>
      <c r="DI125" s="21">
        <f t="shared" si="90"/>
        <v>0</v>
      </c>
      <c r="DJ125" s="21">
        <f t="shared" si="90"/>
        <v>0</v>
      </c>
      <c r="DK125" s="21">
        <f t="shared" si="90"/>
        <v>0</v>
      </c>
      <c r="DL125" s="21">
        <f t="shared" si="90"/>
        <v>0</v>
      </c>
      <c r="DM125" s="21">
        <f t="shared" si="90"/>
        <v>0</v>
      </c>
      <c r="DN125" s="21">
        <f t="shared" si="90"/>
        <v>0</v>
      </c>
      <c r="DO125" s="21">
        <f t="shared" si="90"/>
        <v>0</v>
      </c>
      <c r="DP125" s="21">
        <f t="shared" si="90"/>
        <v>0</v>
      </c>
      <c r="DQ125" s="21">
        <f t="shared" si="90"/>
        <v>0</v>
      </c>
      <c r="DR125" s="21">
        <f t="shared" si="90"/>
        <v>0</v>
      </c>
      <c r="DS125" s="21">
        <f t="shared" si="90"/>
        <v>0</v>
      </c>
      <c r="DT125" s="21">
        <f t="shared" si="90"/>
        <v>0</v>
      </c>
      <c r="DU125" s="21">
        <f t="shared" si="88"/>
        <v>0</v>
      </c>
      <c r="DV125" s="21">
        <f t="shared" si="85"/>
        <v>0</v>
      </c>
      <c r="DW125" s="21">
        <f t="shared" si="85"/>
        <v>0</v>
      </c>
      <c r="DX125" s="21">
        <f t="shared" si="85"/>
        <v>666666</v>
      </c>
      <c r="DY125" s="21">
        <f t="shared" si="85"/>
        <v>0</v>
      </c>
      <c r="DZ125" s="21">
        <f t="shared" si="85"/>
        <v>0</v>
      </c>
      <c r="EA125" s="21">
        <f t="shared" si="85"/>
        <v>0</v>
      </c>
      <c r="EB125" s="21">
        <f t="shared" si="85"/>
        <v>0</v>
      </c>
      <c r="ED125" s="137"/>
      <c r="EE125" s="39">
        <f t="shared" si="71"/>
        <v>90000000</v>
      </c>
      <c r="EF125" s="39">
        <f t="shared" si="72"/>
        <v>88833334</v>
      </c>
    </row>
    <row r="126" spans="1:136" ht="27.75" hidden="1" customHeight="1" x14ac:dyDescent="0.25">
      <c r="A126" s="167"/>
      <c r="B126" s="168"/>
      <c r="C126" s="44" t="s">
        <v>359</v>
      </c>
      <c r="D126" s="29" t="s">
        <v>360</v>
      </c>
      <c r="E126" s="61">
        <v>510</v>
      </c>
      <c r="F126" s="20" t="s">
        <v>361</v>
      </c>
      <c r="G126" s="21">
        <f t="shared" si="80"/>
        <v>22700000</v>
      </c>
      <c r="H126" s="22">
        <v>200000000</v>
      </c>
      <c r="I126" s="22">
        <f t="shared" si="86"/>
        <v>177300000</v>
      </c>
      <c r="J126" s="41"/>
      <c r="K126" s="21">
        <f>30000000-23300000</f>
        <v>6700000</v>
      </c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>
        <f>8000000+3200000+3200000+1600000</f>
        <v>16000000</v>
      </c>
      <c r="AG126" s="23">
        <f t="shared" si="54"/>
        <v>0.96035242290748901</v>
      </c>
      <c r="AH126" s="21">
        <f t="shared" si="91"/>
        <v>21800000</v>
      </c>
      <c r="AI126" s="21"/>
      <c r="AJ126" s="21">
        <f>+'[1]Acuerdo PLAN INVERSIÓN 2021'!$J$7715</f>
        <v>5800000</v>
      </c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>
        <f>+'[3]Acuerdo PLAN INVERSIÓN 2021'!$AF$5214+'[5]Acuerdo PLAN INVERSIÓN 2021'!$G$7300</f>
        <v>16000000</v>
      </c>
      <c r="BF126" s="23">
        <f t="shared" si="57"/>
        <v>3.9647577092510988E-2</v>
      </c>
      <c r="BG126" s="21">
        <f t="shared" si="64"/>
        <v>900000</v>
      </c>
      <c r="BH126" s="21">
        <f t="shared" si="89"/>
        <v>0</v>
      </c>
      <c r="BI126" s="21">
        <f t="shared" si="89"/>
        <v>900000</v>
      </c>
      <c r="BJ126" s="21">
        <f t="shared" si="89"/>
        <v>0</v>
      </c>
      <c r="BK126" s="21">
        <f t="shared" si="89"/>
        <v>0</v>
      </c>
      <c r="BL126" s="21">
        <f t="shared" si="89"/>
        <v>0</v>
      </c>
      <c r="BM126" s="21">
        <f t="shared" si="89"/>
        <v>0</v>
      </c>
      <c r="BN126" s="21">
        <f t="shared" si="89"/>
        <v>0</v>
      </c>
      <c r="BO126" s="21">
        <f t="shared" si="89"/>
        <v>0</v>
      </c>
      <c r="BP126" s="21">
        <f t="shared" si="89"/>
        <v>0</v>
      </c>
      <c r="BQ126" s="21">
        <f t="shared" si="89"/>
        <v>0</v>
      </c>
      <c r="BR126" s="21">
        <f t="shared" si="89"/>
        <v>0</v>
      </c>
      <c r="BS126" s="21">
        <f t="shared" si="89"/>
        <v>0</v>
      </c>
      <c r="BT126" s="21">
        <f t="shared" si="89"/>
        <v>0</v>
      </c>
      <c r="BU126" s="21">
        <f t="shared" si="89"/>
        <v>0</v>
      </c>
      <c r="BV126" s="21">
        <f t="shared" si="89"/>
        <v>0</v>
      </c>
      <c r="BW126" s="21">
        <f t="shared" si="87"/>
        <v>0</v>
      </c>
      <c r="BX126" s="21">
        <f t="shared" si="82"/>
        <v>0</v>
      </c>
      <c r="BY126" s="21">
        <f t="shared" si="82"/>
        <v>0</v>
      </c>
      <c r="BZ126" s="21">
        <f t="shared" si="82"/>
        <v>0</v>
      </c>
      <c r="CA126" s="21">
        <f t="shared" si="82"/>
        <v>0</v>
      </c>
      <c r="CB126" s="21">
        <f t="shared" si="82"/>
        <v>0</v>
      </c>
      <c r="CC126" s="21">
        <f t="shared" si="82"/>
        <v>0</v>
      </c>
      <c r="CD126" s="21">
        <f t="shared" si="82"/>
        <v>0</v>
      </c>
      <c r="CE126" s="23">
        <f t="shared" si="55"/>
        <v>0.96035242290748901</v>
      </c>
      <c r="CF126" s="21">
        <f t="shared" si="92"/>
        <v>21800000</v>
      </c>
      <c r="CG126" s="21"/>
      <c r="CH126" s="21">
        <f>+'[8]Acuerdo PLAN INVERSIÓN 2021'!$H$6273</f>
        <v>5800000</v>
      </c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>
        <f>+'[3]Acuerdo PLAN INVERSIÓN 2021'!$H$5212+'[5]Acuerdo PLAN INVERSIÓN 2021'!$H$7301</f>
        <v>16000000</v>
      </c>
      <c r="DD126" s="23">
        <f t="shared" si="56"/>
        <v>3.9647577092510988E-2</v>
      </c>
      <c r="DE126" s="21">
        <f t="shared" si="83"/>
        <v>900000</v>
      </c>
      <c r="DF126" s="21">
        <f t="shared" si="90"/>
        <v>0</v>
      </c>
      <c r="DG126" s="21">
        <f t="shared" si="90"/>
        <v>900000</v>
      </c>
      <c r="DH126" s="21">
        <f t="shared" si="90"/>
        <v>0</v>
      </c>
      <c r="DI126" s="21">
        <f t="shared" si="90"/>
        <v>0</v>
      </c>
      <c r="DJ126" s="21">
        <f t="shared" si="90"/>
        <v>0</v>
      </c>
      <c r="DK126" s="21">
        <f t="shared" si="90"/>
        <v>0</v>
      </c>
      <c r="DL126" s="21">
        <f t="shared" si="90"/>
        <v>0</v>
      </c>
      <c r="DM126" s="21">
        <f t="shared" si="90"/>
        <v>0</v>
      </c>
      <c r="DN126" s="21">
        <f t="shared" si="90"/>
        <v>0</v>
      </c>
      <c r="DO126" s="21">
        <f t="shared" si="90"/>
        <v>0</v>
      </c>
      <c r="DP126" s="21">
        <f t="shared" si="90"/>
        <v>0</v>
      </c>
      <c r="DQ126" s="21">
        <f t="shared" si="90"/>
        <v>0</v>
      </c>
      <c r="DR126" s="21">
        <f t="shared" si="90"/>
        <v>0</v>
      </c>
      <c r="DS126" s="21">
        <f t="shared" si="90"/>
        <v>0</v>
      </c>
      <c r="DT126" s="21">
        <f t="shared" si="90"/>
        <v>0</v>
      </c>
      <c r="DU126" s="21">
        <f t="shared" si="88"/>
        <v>0</v>
      </c>
      <c r="DV126" s="21">
        <f t="shared" si="85"/>
        <v>0</v>
      </c>
      <c r="DW126" s="21">
        <f t="shared" si="85"/>
        <v>0</v>
      </c>
      <c r="DX126" s="21">
        <f t="shared" si="85"/>
        <v>0</v>
      </c>
      <c r="DY126" s="21">
        <f t="shared" si="85"/>
        <v>0</v>
      </c>
      <c r="DZ126" s="21">
        <f t="shared" si="85"/>
        <v>0</v>
      </c>
      <c r="EA126" s="21">
        <f t="shared" si="85"/>
        <v>0</v>
      </c>
      <c r="EB126" s="21">
        <f t="shared" si="85"/>
        <v>0</v>
      </c>
      <c r="EE126" s="39">
        <f t="shared" si="71"/>
        <v>22700000</v>
      </c>
      <c r="EF126" s="39">
        <f t="shared" si="72"/>
        <v>21800000</v>
      </c>
    </row>
    <row r="127" spans="1:136" ht="26.25" hidden="1" customHeight="1" x14ac:dyDescent="0.25">
      <c r="A127" s="167"/>
      <c r="B127" s="168"/>
      <c r="C127" s="44" t="s">
        <v>362</v>
      </c>
      <c r="D127" s="29" t="s">
        <v>363</v>
      </c>
      <c r="E127" s="61">
        <v>510</v>
      </c>
      <c r="F127" s="20" t="s">
        <v>243</v>
      </c>
      <c r="G127" s="21">
        <f t="shared" si="80"/>
        <v>240000000</v>
      </c>
      <c r="H127" s="22">
        <v>200000000</v>
      </c>
      <c r="I127" s="22">
        <f t="shared" si="86"/>
        <v>-40000000</v>
      </c>
      <c r="J127" s="41"/>
      <c r="K127" s="21">
        <v>60000000</v>
      </c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>
        <f>60000000+40000000</f>
        <v>100000000</v>
      </c>
      <c r="AB127" s="21">
        <f>30000000+50000000</f>
        <v>80000000</v>
      </c>
      <c r="AC127" s="21"/>
      <c r="AD127" s="21"/>
      <c r="AE127" s="21"/>
      <c r="AF127" s="21"/>
      <c r="AG127" s="23">
        <f t="shared" si="54"/>
        <v>0.93637017916666665</v>
      </c>
      <c r="AH127" s="21">
        <f t="shared" si="91"/>
        <v>224728843</v>
      </c>
      <c r="AI127" s="21"/>
      <c r="AJ127" s="21">
        <f>+'[9]Acuerdo PLAN INVERSIÓN 2021'!$G$1150</f>
        <v>60000000</v>
      </c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>
        <f>+'[1]Acuerdo PLAN INVERSIÓN 2021'!$X$7733</f>
        <v>96884511</v>
      </c>
      <c r="BA127" s="21">
        <f>+'[1]Acuerdo PLAN INVERSIÓN 2021'!$Y$7733</f>
        <v>67844332</v>
      </c>
      <c r="BB127" s="21"/>
      <c r="BC127" s="21"/>
      <c r="BD127" s="21"/>
      <c r="BE127" s="21"/>
      <c r="BF127" s="23">
        <f t="shared" si="57"/>
        <v>6.362982083333335E-2</v>
      </c>
      <c r="BG127" s="21">
        <f t="shared" si="64"/>
        <v>15271157</v>
      </c>
      <c r="BH127" s="21">
        <f t="shared" si="89"/>
        <v>0</v>
      </c>
      <c r="BI127" s="21">
        <f t="shared" si="89"/>
        <v>0</v>
      </c>
      <c r="BJ127" s="21">
        <f t="shared" si="89"/>
        <v>0</v>
      </c>
      <c r="BK127" s="21">
        <f t="shared" si="89"/>
        <v>0</v>
      </c>
      <c r="BL127" s="21">
        <f t="shared" si="89"/>
        <v>0</v>
      </c>
      <c r="BM127" s="21">
        <f t="shared" si="89"/>
        <v>0</v>
      </c>
      <c r="BN127" s="21">
        <f t="shared" si="89"/>
        <v>0</v>
      </c>
      <c r="BO127" s="21">
        <f t="shared" si="89"/>
        <v>0</v>
      </c>
      <c r="BP127" s="21">
        <f t="shared" si="89"/>
        <v>0</v>
      </c>
      <c r="BQ127" s="21">
        <f t="shared" si="89"/>
        <v>0</v>
      </c>
      <c r="BR127" s="21">
        <f t="shared" si="89"/>
        <v>0</v>
      </c>
      <c r="BS127" s="21">
        <f t="shared" si="89"/>
        <v>0</v>
      </c>
      <c r="BT127" s="21">
        <f t="shared" si="89"/>
        <v>0</v>
      </c>
      <c r="BU127" s="21">
        <f t="shared" si="89"/>
        <v>0</v>
      </c>
      <c r="BV127" s="21">
        <f t="shared" si="89"/>
        <v>0</v>
      </c>
      <c r="BW127" s="21">
        <f t="shared" si="87"/>
        <v>0</v>
      </c>
      <c r="BX127" s="21">
        <f t="shared" si="82"/>
        <v>0</v>
      </c>
      <c r="BY127" s="21">
        <f t="shared" si="82"/>
        <v>3115489</v>
      </c>
      <c r="BZ127" s="21">
        <f t="shared" si="82"/>
        <v>12155668</v>
      </c>
      <c r="CA127" s="21">
        <f t="shared" si="82"/>
        <v>0</v>
      </c>
      <c r="CB127" s="21">
        <f t="shared" si="82"/>
        <v>0</v>
      </c>
      <c r="CC127" s="21">
        <f t="shared" si="82"/>
        <v>0</v>
      </c>
      <c r="CD127" s="21">
        <f t="shared" si="82"/>
        <v>0</v>
      </c>
      <c r="CE127" s="23">
        <f t="shared" si="55"/>
        <v>0.93637017916666665</v>
      </c>
      <c r="CF127" s="21">
        <f t="shared" si="92"/>
        <v>224728843</v>
      </c>
      <c r="CG127" s="21"/>
      <c r="CH127" s="21">
        <f>+'[9]Acuerdo PLAN INVERSIÓN 2021'!$G$1150</f>
        <v>60000000</v>
      </c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>
        <f>+'[1]Acuerdo PLAN INVERSIÓN 2021'!$X$7733</f>
        <v>96884511</v>
      </c>
      <c r="CY127" s="21">
        <f>+'[1]Acuerdo PLAN INVERSIÓN 2021'!$Y$7733</f>
        <v>67844332</v>
      </c>
      <c r="CZ127" s="21"/>
      <c r="DA127" s="21"/>
      <c r="DB127" s="21"/>
      <c r="DC127" s="21"/>
      <c r="DD127" s="23">
        <f t="shared" si="56"/>
        <v>6.362982083333335E-2</v>
      </c>
      <c r="DE127" s="21">
        <f t="shared" si="83"/>
        <v>15271157</v>
      </c>
      <c r="DF127" s="21">
        <f t="shared" si="90"/>
        <v>0</v>
      </c>
      <c r="DG127" s="21">
        <f t="shared" si="90"/>
        <v>0</v>
      </c>
      <c r="DH127" s="21">
        <f t="shared" si="90"/>
        <v>0</v>
      </c>
      <c r="DI127" s="21">
        <f t="shared" si="90"/>
        <v>0</v>
      </c>
      <c r="DJ127" s="21">
        <f t="shared" si="90"/>
        <v>0</v>
      </c>
      <c r="DK127" s="21">
        <f t="shared" si="90"/>
        <v>0</v>
      </c>
      <c r="DL127" s="21">
        <f t="shared" si="90"/>
        <v>0</v>
      </c>
      <c r="DM127" s="21">
        <f t="shared" si="90"/>
        <v>0</v>
      </c>
      <c r="DN127" s="21">
        <f t="shared" si="90"/>
        <v>0</v>
      </c>
      <c r="DO127" s="21">
        <f t="shared" si="90"/>
        <v>0</v>
      </c>
      <c r="DP127" s="21">
        <f t="shared" si="90"/>
        <v>0</v>
      </c>
      <c r="DQ127" s="21">
        <f t="shared" si="90"/>
        <v>0</v>
      </c>
      <c r="DR127" s="21">
        <f t="shared" si="90"/>
        <v>0</v>
      </c>
      <c r="DS127" s="21">
        <f t="shared" si="90"/>
        <v>0</v>
      </c>
      <c r="DT127" s="21">
        <f t="shared" si="90"/>
        <v>0</v>
      </c>
      <c r="DU127" s="21">
        <f t="shared" si="88"/>
        <v>0</v>
      </c>
      <c r="DV127" s="21">
        <f t="shared" si="85"/>
        <v>0</v>
      </c>
      <c r="DW127" s="21">
        <f t="shared" si="85"/>
        <v>3115489</v>
      </c>
      <c r="DX127" s="21">
        <f t="shared" si="85"/>
        <v>12155668</v>
      </c>
      <c r="DY127" s="21">
        <f t="shared" si="85"/>
        <v>0</v>
      </c>
      <c r="DZ127" s="21">
        <f t="shared" si="85"/>
        <v>0</v>
      </c>
      <c r="EA127" s="21">
        <f t="shared" si="85"/>
        <v>0</v>
      </c>
      <c r="EB127" s="21">
        <f t="shared" si="85"/>
        <v>0</v>
      </c>
      <c r="EE127" s="39">
        <f t="shared" si="71"/>
        <v>240000000</v>
      </c>
      <c r="EF127" s="39">
        <f t="shared" si="72"/>
        <v>224728843</v>
      </c>
    </row>
    <row r="128" spans="1:136" ht="30.75" hidden="1" customHeight="1" x14ac:dyDescent="0.25">
      <c r="A128" s="167"/>
      <c r="B128" s="171" t="s">
        <v>364</v>
      </c>
      <c r="C128" s="44" t="s">
        <v>365</v>
      </c>
      <c r="D128" s="29" t="s">
        <v>366</v>
      </c>
      <c r="E128" s="61">
        <v>310</v>
      </c>
      <c r="F128" s="20" t="s">
        <v>243</v>
      </c>
      <c r="G128" s="21">
        <f t="shared" si="80"/>
        <v>68000471</v>
      </c>
      <c r="H128" s="22">
        <v>180000000</v>
      </c>
      <c r="I128" s="22">
        <f t="shared" si="86"/>
        <v>111999529</v>
      </c>
      <c r="J128" s="41"/>
      <c r="K128" s="21">
        <f>100000000-31999529</f>
        <v>68000471</v>
      </c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3">
        <f t="shared" si="54"/>
        <v>0.12395256791677223</v>
      </c>
      <c r="AH128" s="21">
        <f t="shared" si="91"/>
        <v>8428833</v>
      </c>
      <c r="AI128" s="21"/>
      <c r="AJ128" s="21">
        <f>+'[1]Acuerdo PLAN INVERSIÓN 2021'!$J$7805</f>
        <v>8428833</v>
      </c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3">
        <f t="shared" si="57"/>
        <v>0.87604743208322777</v>
      </c>
      <c r="BG128" s="21">
        <f t="shared" si="64"/>
        <v>59571638</v>
      </c>
      <c r="BH128" s="21">
        <f t="shared" si="89"/>
        <v>0</v>
      </c>
      <c r="BI128" s="21">
        <f t="shared" si="89"/>
        <v>59571638</v>
      </c>
      <c r="BJ128" s="21">
        <f t="shared" si="89"/>
        <v>0</v>
      </c>
      <c r="BK128" s="21">
        <f t="shared" si="89"/>
        <v>0</v>
      </c>
      <c r="BL128" s="21">
        <f t="shared" si="89"/>
        <v>0</v>
      </c>
      <c r="BM128" s="21">
        <f t="shared" si="89"/>
        <v>0</v>
      </c>
      <c r="BN128" s="21">
        <f t="shared" si="89"/>
        <v>0</v>
      </c>
      <c r="BO128" s="21">
        <f t="shared" si="89"/>
        <v>0</v>
      </c>
      <c r="BP128" s="21">
        <f t="shared" si="89"/>
        <v>0</v>
      </c>
      <c r="BQ128" s="21">
        <f t="shared" si="89"/>
        <v>0</v>
      </c>
      <c r="BR128" s="21">
        <f t="shared" si="89"/>
        <v>0</v>
      </c>
      <c r="BS128" s="21">
        <f t="shared" si="89"/>
        <v>0</v>
      </c>
      <c r="BT128" s="21">
        <f t="shared" si="89"/>
        <v>0</v>
      </c>
      <c r="BU128" s="21">
        <f t="shared" si="89"/>
        <v>0</v>
      </c>
      <c r="BV128" s="21">
        <f t="shared" si="89"/>
        <v>0</v>
      </c>
      <c r="BW128" s="21">
        <f t="shared" si="87"/>
        <v>0</v>
      </c>
      <c r="BX128" s="21">
        <f t="shared" si="82"/>
        <v>0</v>
      </c>
      <c r="BY128" s="21">
        <f t="shared" si="82"/>
        <v>0</v>
      </c>
      <c r="BZ128" s="21">
        <f t="shared" si="82"/>
        <v>0</v>
      </c>
      <c r="CA128" s="21">
        <f t="shared" si="82"/>
        <v>0</v>
      </c>
      <c r="CB128" s="21">
        <f t="shared" si="82"/>
        <v>0</v>
      </c>
      <c r="CC128" s="21">
        <f t="shared" si="82"/>
        <v>0</v>
      </c>
      <c r="CD128" s="21">
        <f t="shared" si="82"/>
        <v>0</v>
      </c>
      <c r="CE128" s="23">
        <f t="shared" si="55"/>
        <v>0.12395256791677223</v>
      </c>
      <c r="CF128" s="21">
        <f t="shared" si="92"/>
        <v>8428833</v>
      </c>
      <c r="CG128" s="21"/>
      <c r="CH128" s="21">
        <f>+'[2]Acuerdo PLAN INVERSIÓN 2021'!$H$3791+'[2]Acuerdo PLAN INVERSIÓN 2021'!$H$3795</f>
        <v>8428833</v>
      </c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3">
        <f t="shared" si="56"/>
        <v>0.87604743208322777</v>
      </c>
      <c r="DE128" s="21">
        <f t="shared" si="83"/>
        <v>59571638</v>
      </c>
      <c r="DF128" s="21">
        <f t="shared" si="90"/>
        <v>0</v>
      </c>
      <c r="DG128" s="21">
        <f t="shared" si="90"/>
        <v>59571638</v>
      </c>
      <c r="DH128" s="21">
        <f t="shared" si="90"/>
        <v>0</v>
      </c>
      <c r="DI128" s="21">
        <f t="shared" si="90"/>
        <v>0</v>
      </c>
      <c r="DJ128" s="21">
        <f t="shared" si="90"/>
        <v>0</v>
      </c>
      <c r="DK128" s="21">
        <f t="shared" si="90"/>
        <v>0</v>
      </c>
      <c r="DL128" s="21">
        <f t="shared" si="90"/>
        <v>0</v>
      </c>
      <c r="DM128" s="21">
        <f t="shared" si="90"/>
        <v>0</v>
      </c>
      <c r="DN128" s="21">
        <f t="shared" si="90"/>
        <v>0</v>
      </c>
      <c r="DO128" s="21">
        <f t="shared" si="90"/>
        <v>0</v>
      </c>
      <c r="DP128" s="21">
        <f t="shared" si="90"/>
        <v>0</v>
      </c>
      <c r="DQ128" s="21">
        <f t="shared" si="90"/>
        <v>0</v>
      </c>
      <c r="DR128" s="21">
        <f t="shared" si="90"/>
        <v>0</v>
      </c>
      <c r="DS128" s="21">
        <f t="shared" si="90"/>
        <v>0</v>
      </c>
      <c r="DT128" s="21">
        <f t="shared" si="90"/>
        <v>0</v>
      </c>
      <c r="DU128" s="21">
        <f t="shared" si="88"/>
        <v>0</v>
      </c>
      <c r="DV128" s="21">
        <f t="shared" si="85"/>
        <v>0</v>
      </c>
      <c r="DW128" s="21">
        <f t="shared" si="85"/>
        <v>0</v>
      </c>
      <c r="DX128" s="21">
        <f t="shared" si="85"/>
        <v>0</v>
      </c>
      <c r="DY128" s="21">
        <f t="shared" si="85"/>
        <v>0</v>
      </c>
      <c r="DZ128" s="21">
        <f t="shared" si="85"/>
        <v>0</v>
      </c>
      <c r="EA128" s="21">
        <f t="shared" si="85"/>
        <v>0</v>
      </c>
      <c r="EB128" s="21">
        <f t="shared" si="85"/>
        <v>0</v>
      </c>
      <c r="ED128" s="137" t="s">
        <v>386</v>
      </c>
      <c r="EE128" s="39">
        <f t="shared" si="71"/>
        <v>68000471</v>
      </c>
      <c r="EF128" s="39">
        <f t="shared" si="72"/>
        <v>8428833</v>
      </c>
    </row>
    <row r="129" spans="1:137" ht="46.5" hidden="1" customHeight="1" x14ac:dyDescent="0.25">
      <c r="A129" s="167"/>
      <c r="B129" s="173"/>
      <c r="C129" s="44" t="s">
        <v>367</v>
      </c>
      <c r="D129" s="29" t="s">
        <v>368</v>
      </c>
      <c r="E129" s="61">
        <v>310</v>
      </c>
      <c r="F129" s="20" t="s">
        <v>369</v>
      </c>
      <c r="G129" s="21">
        <f t="shared" si="80"/>
        <v>101399529</v>
      </c>
      <c r="H129" s="22">
        <v>80000000</v>
      </c>
      <c r="I129" s="22">
        <f t="shared" si="86"/>
        <v>-21399529</v>
      </c>
      <c r="J129" s="41"/>
      <c r="K129" s="21">
        <f>60000000+31999529</f>
        <v>91999529</v>
      </c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>
        <f>8000000+1400000</f>
        <v>9400000</v>
      </c>
      <c r="AG129" s="23">
        <f t="shared" si="54"/>
        <v>0.69924667993280321</v>
      </c>
      <c r="AH129" s="21">
        <f t="shared" si="91"/>
        <v>70903284</v>
      </c>
      <c r="AI129" s="21"/>
      <c r="AJ129" s="21">
        <f>+'[1]Acuerdo PLAN INVERSIÓN 2021'!$J$7817</f>
        <v>61503284</v>
      </c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>
        <f>+'[8]Acuerdo PLAN INVERSIÓN 2021'!$AF$6358</f>
        <v>9400000</v>
      </c>
      <c r="BF129" s="23">
        <f t="shared" si="57"/>
        <v>0.30075332006719679</v>
      </c>
      <c r="BG129" s="21">
        <f t="shared" si="64"/>
        <v>30496245</v>
      </c>
      <c r="BH129" s="21">
        <f t="shared" si="89"/>
        <v>0</v>
      </c>
      <c r="BI129" s="21">
        <f t="shared" si="89"/>
        <v>30496245</v>
      </c>
      <c r="BJ129" s="21">
        <f t="shared" si="89"/>
        <v>0</v>
      </c>
      <c r="BK129" s="21">
        <f t="shared" si="89"/>
        <v>0</v>
      </c>
      <c r="BL129" s="21">
        <f t="shared" si="89"/>
        <v>0</v>
      </c>
      <c r="BM129" s="21">
        <f t="shared" si="89"/>
        <v>0</v>
      </c>
      <c r="BN129" s="21">
        <f t="shared" si="89"/>
        <v>0</v>
      </c>
      <c r="BO129" s="21">
        <f t="shared" si="89"/>
        <v>0</v>
      </c>
      <c r="BP129" s="21">
        <f t="shared" si="89"/>
        <v>0</v>
      </c>
      <c r="BQ129" s="21">
        <f t="shared" si="89"/>
        <v>0</v>
      </c>
      <c r="BR129" s="21">
        <f t="shared" si="89"/>
        <v>0</v>
      </c>
      <c r="BS129" s="21">
        <f t="shared" si="89"/>
        <v>0</v>
      </c>
      <c r="BT129" s="21">
        <f t="shared" si="89"/>
        <v>0</v>
      </c>
      <c r="BU129" s="21">
        <f t="shared" si="89"/>
        <v>0</v>
      </c>
      <c r="BV129" s="21">
        <f t="shared" si="89"/>
        <v>0</v>
      </c>
      <c r="BW129" s="21">
        <f t="shared" si="87"/>
        <v>0</v>
      </c>
      <c r="BX129" s="21">
        <f t="shared" si="82"/>
        <v>0</v>
      </c>
      <c r="BY129" s="21">
        <f t="shared" si="82"/>
        <v>0</v>
      </c>
      <c r="BZ129" s="21">
        <f t="shared" si="82"/>
        <v>0</v>
      </c>
      <c r="CA129" s="21">
        <f t="shared" si="82"/>
        <v>0</v>
      </c>
      <c r="CB129" s="21">
        <f t="shared" si="82"/>
        <v>0</v>
      </c>
      <c r="CC129" s="21">
        <f t="shared" si="82"/>
        <v>0</v>
      </c>
      <c r="CD129" s="21">
        <f t="shared" si="82"/>
        <v>0</v>
      </c>
      <c r="CE129" s="23">
        <f t="shared" si="55"/>
        <v>0.69924667993280321</v>
      </c>
      <c r="CF129" s="21">
        <f t="shared" si="92"/>
        <v>70903284</v>
      </c>
      <c r="CG129" s="21"/>
      <c r="CH129" s="21">
        <f>+'[1]Acuerdo PLAN INVERSIÓN 2021'!$J$7817</f>
        <v>61503284</v>
      </c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>
        <f>+'[5]Acuerdo PLAN INVERSIÓN 2021'!$H$7422+'[5]Acuerdo PLAN INVERSIÓN 2021'!$H$7425+'[5]Acuerdo PLAN INVERSIÓN 2021'!$H$7463</f>
        <v>9400000</v>
      </c>
      <c r="DD129" s="23">
        <f t="shared" si="56"/>
        <v>0.30075332006719679</v>
      </c>
      <c r="DE129" s="21">
        <f t="shared" si="83"/>
        <v>30496245</v>
      </c>
      <c r="DF129" s="21">
        <f t="shared" si="90"/>
        <v>0</v>
      </c>
      <c r="DG129" s="21">
        <f t="shared" si="90"/>
        <v>30496245</v>
      </c>
      <c r="DH129" s="21">
        <f t="shared" si="90"/>
        <v>0</v>
      </c>
      <c r="DI129" s="21">
        <f t="shared" si="90"/>
        <v>0</v>
      </c>
      <c r="DJ129" s="21">
        <f t="shared" si="90"/>
        <v>0</v>
      </c>
      <c r="DK129" s="21">
        <f t="shared" si="90"/>
        <v>0</v>
      </c>
      <c r="DL129" s="21">
        <f t="shared" si="90"/>
        <v>0</v>
      </c>
      <c r="DM129" s="21">
        <f t="shared" si="90"/>
        <v>0</v>
      </c>
      <c r="DN129" s="21">
        <f t="shared" si="90"/>
        <v>0</v>
      </c>
      <c r="DO129" s="21">
        <f t="shared" si="90"/>
        <v>0</v>
      </c>
      <c r="DP129" s="21">
        <f t="shared" si="90"/>
        <v>0</v>
      </c>
      <c r="DQ129" s="21">
        <f t="shared" si="90"/>
        <v>0</v>
      </c>
      <c r="DR129" s="21">
        <f t="shared" si="90"/>
        <v>0</v>
      </c>
      <c r="DS129" s="21">
        <f t="shared" si="90"/>
        <v>0</v>
      </c>
      <c r="DT129" s="21">
        <f t="shared" si="90"/>
        <v>0</v>
      </c>
      <c r="DU129" s="21">
        <f t="shared" si="88"/>
        <v>0</v>
      </c>
      <c r="DV129" s="21">
        <f t="shared" si="85"/>
        <v>0</v>
      </c>
      <c r="DW129" s="21">
        <f t="shared" si="85"/>
        <v>0</v>
      </c>
      <c r="DX129" s="21">
        <f t="shared" si="85"/>
        <v>0</v>
      </c>
      <c r="DY129" s="21">
        <f t="shared" si="85"/>
        <v>0</v>
      </c>
      <c r="DZ129" s="21">
        <f t="shared" si="85"/>
        <v>0</v>
      </c>
      <c r="EA129" s="21">
        <f t="shared" si="85"/>
        <v>0</v>
      </c>
      <c r="EB129" s="21">
        <f t="shared" si="85"/>
        <v>0</v>
      </c>
      <c r="EE129" s="39">
        <f t="shared" si="71"/>
        <v>101399529</v>
      </c>
      <c r="EF129" s="39">
        <f t="shared" si="72"/>
        <v>70903284</v>
      </c>
      <c r="EG129" s="134">
        <f>+CE129</f>
        <v>0.69924667993280321</v>
      </c>
    </row>
    <row r="130" spans="1:137" s="38" customFormat="1" ht="20.25" customHeight="1" thickTop="1" thickBot="1" x14ac:dyDescent="0.3">
      <c r="A130" s="66"/>
      <c r="B130" s="213" t="s">
        <v>370</v>
      </c>
      <c r="C130" s="214"/>
      <c r="D130" s="214"/>
      <c r="E130" s="128"/>
      <c r="F130" s="129"/>
      <c r="G130" s="125">
        <f t="shared" ref="G130:AF130" si="93">SUM(G99:G129)</f>
        <v>26514474251</v>
      </c>
      <c r="H130" s="125">
        <f t="shared" si="93"/>
        <v>15548636000</v>
      </c>
      <c r="I130" s="125">
        <f t="shared" si="93"/>
        <v>-10965838251</v>
      </c>
      <c r="J130" s="125">
        <f t="shared" si="93"/>
        <v>1298210179</v>
      </c>
      <c r="K130" s="125">
        <f t="shared" si="93"/>
        <v>1447747011</v>
      </c>
      <c r="L130" s="125">
        <f t="shared" si="93"/>
        <v>0</v>
      </c>
      <c r="M130" s="125">
        <f t="shared" si="93"/>
        <v>8774429504</v>
      </c>
      <c r="N130" s="125">
        <f t="shared" si="93"/>
        <v>6856843769</v>
      </c>
      <c r="O130" s="125">
        <f t="shared" si="93"/>
        <v>0</v>
      </c>
      <c r="P130" s="125">
        <f t="shared" si="93"/>
        <v>212423035</v>
      </c>
      <c r="Q130" s="125">
        <f t="shared" si="93"/>
        <v>660290626</v>
      </c>
      <c r="R130" s="125">
        <f t="shared" si="93"/>
        <v>593465994</v>
      </c>
      <c r="S130" s="125">
        <f t="shared" si="93"/>
        <v>446546789</v>
      </c>
      <c r="T130" s="125">
        <f t="shared" si="93"/>
        <v>734044263</v>
      </c>
      <c r="U130" s="125">
        <f t="shared" si="93"/>
        <v>620266250</v>
      </c>
      <c r="V130" s="125">
        <f t="shared" si="93"/>
        <v>201867582</v>
      </c>
      <c r="W130" s="125">
        <f t="shared" si="93"/>
        <v>690751605</v>
      </c>
      <c r="X130" s="125">
        <f t="shared" si="93"/>
        <v>331774449</v>
      </c>
      <c r="Y130" s="125">
        <f t="shared" si="93"/>
        <v>0</v>
      </c>
      <c r="Z130" s="125">
        <f t="shared" si="93"/>
        <v>0</v>
      </c>
      <c r="AA130" s="125">
        <f t="shared" si="93"/>
        <v>2037177577</v>
      </c>
      <c r="AB130" s="125">
        <f t="shared" si="93"/>
        <v>210000000</v>
      </c>
      <c r="AC130" s="125">
        <f t="shared" si="93"/>
        <v>124281898</v>
      </c>
      <c r="AD130" s="125">
        <f t="shared" si="93"/>
        <v>0</v>
      </c>
      <c r="AE130" s="125">
        <f t="shared" si="93"/>
        <v>124801187</v>
      </c>
      <c r="AF130" s="125">
        <f t="shared" si="93"/>
        <v>1149552533</v>
      </c>
      <c r="AG130" s="123">
        <f t="shared" si="54"/>
        <v>0.51292564160449361</v>
      </c>
      <c r="AH130" s="125">
        <f t="shared" ref="AH130:BE130" si="94">SUM(AH99:AH129)</f>
        <v>13599953717</v>
      </c>
      <c r="AI130" s="125">
        <f t="shared" si="94"/>
        <v>446211907</v>
      </c>
      <c r="AJ130" s="125">
        <f t="shared" si="94"/>
        <v>1030758644</v>
      </c>
      <c r="AK130" s="125">
        <f t="shared" si="94"/>
        <v>0</v>
      </c>
      <c r="AL130" s="125">
        <f t="shared" si="94"/>
        <v>2244384367</v>
      </c>
      <c r="AM130" s="125">
        <f t="shared" si="94"/>
        <v>6855066956</v>
      </c>
      <c r="AN130" s="125">
        <f t="shared" si="94"/>
        <v>0</v>
      </c>
      <c r="AO130" s="125">
        <f t="shared" si="94"/>
        <v>202400000</v>
      </c>
      <c r="AP130" s="125">
        <f t="shared" si="94"/>
        <v>545290626</v>
      </c>
      <c r="AQ130" s="125">
        <f t="shared" si="94"/>
        <v>0</v>
      </c>
      <c r="AR130" s="125">
        <f t="shared" si="94"/>
        <v>0</v>
      </c>
      <c r="AS130" s="125">
        <f t="shared" si="94"/>
        <v>0</v>
      </c>
      <c r="AT130" s="125">
        <f t="shared" si="94"/>
        <v>324980000</v>
      </c>
      <c r="AU130" s="125">
        <f t="shared" si="94"/>
        <v>0</v>
      </c>
      <c r="AV130" s="125">
        <f t="shared" si="94"/>
        <v>42007000</v>
      </c>
      <c r="AW130" s="125">
        <f t="shared" si="94"/>
        <v>0</v>
      </c>
      <c r="AX130" s="125">
        <f t="shared" si="94"/>
        <v>0</v>
      </c>
      <c r="AY130" s="125">
        <f t="shared" si="94"/>
        <v>0</v>
      </c>
      <c r="AZ130" s="125">
        <f t="shared" si="94"/>
        <v>1065533373</v>
      </c>
      <c r="BA130" s="125">
        <f t="shared" si="94"/>
        <v>190039599</v>
      </c>
      <c r="BB130" s="125">
        <f t="shared" si="94"/>
        <v>49963689</v>
      </c>
      <c r="BC130" s="125">
        <f t="shared" si="94"/>
        <v>0</v>
      </c>
      <c r="BD130" s="125">
        <f t="shared" si="94"/>
        <v>44817066</v>
      </c>
      <c r="BE130" s="125">
        <f t="shared" si="94"/>
        <v>558500490</v>
      </c>
      <c r="BF130" s="123">
        <f t="shared" si="57"/>
        <v>0.48707435839550639</v>
      </c>
      <c r="BG130" s="125">
        <f t="shared" ref="BG130:CD130" si="95">SUM(BG99:BG129)</f>
        <v>12914520534</v>
      </c>
      <c r="BH130" s="125">
        <f t="shared" si="95"/>
        <v>851998272</v>
      </c>
      <c r="BI130" s="125">
        <f t="shared" si="95"/>
        <v>416988367</v>
      </c>
      <c r="BJ130" s="125">
        <f t="shared" si="95"/>
        <v>0</v>
      </c>
      <c r="BK130" s="125">
        <f t="shared" si="95"/>
        <v>6530045137</v>
      </c>
      <c r="BL130" s="125">
        <f t="shared" si="95"/>
        <v>1776813</v>
      </c>
      <c r="BM130" s="125">
        <f t="shared" si="95"/>
        <v>0</v>
      </c>
      <c r="BN130" s="125">
        <f t="shared" si="95"/>
        <v>10023035</v>
      </c>
      <c r="BO130" s="125">
        <f t="shared" si="95"/>
        <v>115000000</v>
      </c>
      <c r="BP130" s="125">
        <f t="shared" si="95"/>
        <v>593465994</v>
      </c>
      <c r="BQ130" s="125">
        <f t="shared" si="95"/>
        <v>446546789</v>
      </c>
      <c r="BR130" s="125">
        <f t="shared" si="95"/>
        <v>734044263</v>
      </c>
      <c r="BS130" s="125">
        <f t="shared" si="95"/>
        <v>295286250</v>
      </c>
      <c r="BT130" s="125">
        <f t="shared" si="95"/>
        <v>201867582</v>
      </c>
      <c r="BU130" s="125">
        <f t="shared" si="95"/>
        <v>648744605</v>
      </c>
      <c r="BV130" s="125">
        <f t="shared" si="95"/>
        <v>331774449</v>
      </c>
      <c r="BW130" s="125">
        <f t="shared" si="95"/>
        <v>0</v>
      </c>
      <c r="BX130" s="125">
        <f t="shared" si="95"/>
        <v>0</v>
      </c>
      <c r="BY130" s="125">
        <f t="shared" si="95"/>
        <v>971644204</v>
      </c>
      <c r="BZ130" s="125">
        <f t="shared" si="95"/>
        <v>19960401</v>
      </c>
      <c r="CA130" s="125">
        <f t="shared" si="95"/>
        <v>74318209</v>
      </c>
      <c r="CB130" s="125">
        <f t="shared" si="95"/>
        <v>0</v>
      </c>
      <c r="CC130" s="125">
        <f t="shared" si="95"/>
        <v>79984121</v>
      </c>
      <c r="CD130" s="125">
        <f t="shared" si="95"/>
        <v>591052043</v>
      </c>
      <c r="CE130" s="121">
        <f t="shared" si="55"/>
        <v>0.51292564160449361</v>
      </c>
      <c r="CF130" s="125">
        <f>SUM(CF99:CF129)</f>
        <v>13599953717</v>
      </c>
      <c r="CG130" s="125">
        <f>SUM(CG99:CG129)</f>
        <v>446211907</v>
      </c>
      <c r="CH130" s="125">
        <f>SUM(CH99:CH129)</f>
        <v>1030758644</v>
      </c>
      <c r="CI130" s="125">
        <f>SUM(CI99:CI129)</f>
        <v>0</v>
      </c>
      <c r="CJ130" s="125">
        <f>SUM(CJ99:CJ129)</f>
        <v>2244384367</v>
      </c>
      <c r="CK130" s="125">
        <f t="shared" ref="CK130:DC130" si="96">SUM(CK99:CK129)</f>
        <v>6855066956</v>
      </c>
      <c r="CL130" s="125">
        <f t="shared" si="96"/>
        <v>0</v>
      </c>
      <c r="CM130" s="125">
        <f t="shared" si="96"/>
        <v>202400000</v>
      </c>
      <c r="CN130" s="125">
        <f t="shared" si="96"/>
        <v>545290626</v>
      </c>
      <c r="CO130" s="125">
        <f t="shared" si="96"/>
        <v>0</v>
      </c>
      <c r="CP130" s="125">
        <f t="shared" si="96"/>
        <v>0</v>
      </c>
      <c r="CQ130" s="125">
        <f t="shared" si="96"/>
        <v>0</v>
      </c>
      <c r="CR130" s="125">
        <f t="shared" si="96"/>
        <v>324980000</v>
      </c>
      <c r="CS130" s="125">
        <f t="shared" si="96"/>
        <v>0</v>
      </c>
      <c r="CT130" s="125">
        <f t="shared" si="96"/>
        <v>42007000</v>
      </c>
      <c r="CU130" s="125">
        <f t="shared" si="96"/>
        <v>0</v>
      </c>
      <c r="CV130" s="125">
        <f t="shared" si="96"/>
        <v>0</v>
      </c>
      <c r="CW130" s="125">
        <f t="shared" si="96"/>
        <v>0</v>
      </c>
      <c r="CX130" s="125">
        <f t="shared" si="96"/>
        <v>1065533373</v>
      </c>
      <c r="CY130" s="125">
        <f t="shared" si="96"/>
        <v>190039599</v>
      </c>
      <c r="CZ130" s="125">
        <f t="shared" si="96"/>
        <v>49963689</v>
      </c>
      <c r="DA130" s="125">
        <f t="shared" si="96"/>
        <v>0</v>
      </c>
      <c r="DB130" s="125">
        <f t="shared" si="96"/>
        <v>44817066</v>
      </c>
      <c r="DC130" s="125">
        <f t="shared" si="96"/>
        <v>558500490</v>
      </c>
      <c r="DD130" s="123">
        <f t="shared" si="56"/>
        <v>0.48707435839550639</v>
      </c>
      <c r="DE130" s="125">
        <f t="shared" ref="DE130:EB130" si="97">SUM(DE99:DE129)</f>
        <v>12914520534</v>
      </c>
      <c r="DF130" s="125">
        <f t="shared" si="97"/>
        <v>851998272</v>
      </c>
      <c r="DG130" s="125">
        <f t="shared" si="97"/>
        <v>416988367</v>
      </c>
      <c r="DH130" s="125">
        <f t="shared" si="97"/>
        <v>0</v>
      </c>
      <c r="DI130" s="125">
        <f t="shared" si="97"/>
        <v>6530045137</v>
      </c>
      <c r="DJ130" s="125">
        <f t="shared" si="97"/>
        <v>1776813</v>
      </c>
      <c r="DK130" s="125">
        <f t="shared" si="97"/>
        <v>0</v>
      </c>
      <c r="DL130" s="125">
        <f t="shared" si="97"/>
        <v>10023035</v>
      </c>
      <c r="DM130" s="125">
        <f t="shared" si="97"/>
        <v>115000000</v>
      </c>
      <c r="DN130" s="125">
        <f t="shared" si="97"/>
        <v>593465994</v>
      </c>
      <c r="DO130" s="125">
        <f t="shared" si="97"/>
        <v>446546789</v>
      </c>
      <c r="DP130" s="125">
        <f t="shared" si="97"/>
        <v>734044263</v>
      </c>
      <c r="DQ130" s="125">
        <f t="shared" si="97"/>
        <v>295286250</v>
      </c>
      <c r="DR130" s="125">
        <f t="shared" si="97"/>
        <v>201867582</v>
      </c>
      <c r="DS130" s="125">
        <f t="shared" si="97"/>
        <v>648744605</v>
      </c>
      <c r="DT130" s="125">
        <f t="shared" si="97"/>
        <v>331774449</v>
      </c>
      <c r="DU130" s="125">
        <f t="shared" si="97"/>
        <v>0</v>
      </c>
      <c r="DV130" s="125">
        <f t="shared" si="97"/>
        <v>0</v>
      </c>
      <c r="DW130" s="125">
        <f t="shared" si="97"/>
        <v>971644204</v>
      </c>
      <c r="DX130" s="125">
        <f t="shared" si="97"/>
        <v>19960401</v>
      </c>
      <c r="DY130" s="125">
        <f t="shared" si="97"/>
        <v>74318209</v>
      </c>
      <c r="DZ130" s="125">
        <f t="shared" si="97"/>
        <v>0</v>
      </c>
      <c r="EA130" s="125">
        <f t="shared" si="97"/>
        <v>79984121</v>
      </c>
      <c r="EB130" s="125">
        <f t="shared" si="97"/>
        <v>591052043</v>
      </c>
      <c r="ED130" s="137" t="s">
        <v>386</v>
      </c>
      <c r="EE130" s="39">
        <f t="shared" si="71"/>
        <v>26514474251</v>
      </c>
      <c r="EF130" s="39">
        <f t="shared" si="72"/>
        <v>13599953717</v>
      </c>
      <c r="EG130" s="139">
        <f>+CE130</f>
        <v>0.51292564160449361</v>
      </c>
    </row>
    <row r="131" spans="1:137" ht="5.25" customHeight="1" thickTop="1" x14ac:dyDescent="0.25">
      <c r="C131" s="67"/>
      <c r="D131" s="67"/>
      <c r="E131" s="67"/>
      <c r="F131" s="67"/>
      <c r="G131" s="68"/>
      <c r="H131" s="69"/>
      <c r="I131" s="69"/>
      <c r="J131" s="68"/>
      <c r="K131" s="70"/>
      <c r="L131" s="68"/>
      <c r="M131" s="68"/>
      <c r="N131" s="68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2"/>
      <c r="AH131" s="73"/>
      <c r="AI131" s="73"/>
      <c r="AJ131" s="73"/>
      <c r="AK131" s="73"/>
      <c r="AL131" s="73"/>
      <c r="AM131" s="73"/>
      <c r="AN131" s="73"/>
      <c r="AO131" s="73"/>
      <c r="AP131" s="73"/>
      <c r="AQ131" s="73"/>
      <c r="AR131" s="73"/>
      <c r="AS131" s="73"/>
      <c r="AT131" s="73"/>
      <c r="AU131" s="73"/>
      <c r="AV131" s="73"/>
      <c r="AW131" s="73"/>
      <c r="AX131" s="73"/>
      <c r="AY131" s="73"/>
      <c r="AZ131" s="73"/>
      <c r="BA131" s="73"/>
      <c r="BB131" s="73"/>
      <c r="BC131" s="73"/>
      <c r="BD131" s="73"/>
      <c r="BE131" s="73"/>
      <c r="BF131" s="72"/>
      <c r="BG131" s="73"/>
      <c r="BH131" s="73"/>
      <c r="BI131" s="73"/>
      <c r="BJ131" s="73"/>
      <c r="BK131" s="73"/>
      <c r="BL131" s="73"/>
      <c r="BM131" s="73"/>
      <c r="BN131" s="73"/>
      <c r="BO131" s="73"/>
      <c r="BP131" s="73"/>
      <c r="BQ131" s="73"/>
      <c r="BR131" s="73"/>
      <c r="BS131" s="73"/>
      <c r="BT131" s="73"/>
      <c r="BU131" s="73"/>
      <c r="BV131" s="73"/>
      <c r="BW131" s="73"/>
      <c r="BX131" s="73"/>
      <c r="BY131" s="73"/>
      <c r="BZ131" s="73"/>
      <c r="CA131" s="73"/>
      <c r="CB131" s="73"/>
      <c r="CC131" s="73"/>
      <c r="CD131" s="73"/>
      <c r="CE131" s="42"/>
      <c r="CF131" s="74"/>
      <c r="CG131" s="73"/>
      <c r="CH131" s="73"/>
      <c r="CI131" s="73"/>
      <c r="CJ131" s="73"/>
      <c r="CK131" s="73"/>
      <c r="CL131" s="73"/>
      <c r="CM131" s="73"/>
      <c r="CN131" s="73"/>
      <c r="CO131" s="73"/>
      <c r="CP131" s="73"/>
      <c r="CQ131" s="73"/>
      <c r="CR131" s="73"/>
      <c r="CS131" s="73"/>
      <c r="CT131" s="73"/>
      <c r="CU131" s="73"/>
      <c r="CV131" s="73"/>
      <c r="CW131" s="73"/>
      <c r="CX131" s="73"/>
      <c r="CY131" s="73"/>
      <c r="CZ131" s="73"/>
      <c r="DA131" s="73"/>
      <c r="DB131" s="73"/>
      <c r="DC131" s="73"/>
      <c r="DD131" s="72"/>
      <c r="DE131" s="73"/>
      <c r="DF131" s="73"/>
      <c r="DG131" s="73"/>
      <c r="DH131" s="73"/>
      <c r="DI131" s="73"/>
      <c r="DJ131" s="73"/>
      <c r="DK131" s="73"/>
      <c r="DL131" s="73"/>
      <c r="DM131" s="73"/>
      <c r="DN131" s="73"/>
      <c r="DO131" s="73"/>
      <c r="DP131" s="73"/>
      <c r="DQ131" s="73"/>
      <c r="DR131" s="73"/>
      <c r="DS131" s="73"/>
      <c r="DT131" s="73"/>
      <c r="DU131" s="73"/>
      <c r="DV131" s="73"/>
      <c r="DW131" s="73"/>
      <c r="DX131" s="73"/>
      <c r="DY131" s="73"/>
      <c r="DZ131" s="73"/>
      <c r="EA131" s="73"/>
      <c r="EB131" s="73"/>
      <c r="EE131" s="46"/>
      <c r="EF131" s="46"/>
      <c r="EG131" s="139"/>
    </row>
    <row r="132" spans="1:137" ht="19.5" customHeight="1" x14ac:dyDescent="0.25">
      <c r="C132" s="159" t="s">
        <v>371</v>
      </c>
      <c r="D132" s="160"/>
      <c r="E132" s="161"/>
      <c r="F132" s="75"/>
      <c r="G132" s="73">
        <f t="shared" ref="G132:AF132" si="98">G25+G51+G78+G98+G130</f>
        <v>47285614871</v>
      </c>
      <c r="H132" s="76">
        <f t="shared" si="98"/>
        <v>37326786386</v>
      </c>
      <c r="I132" s="76">
        <f t="shared" si="98"/>
        <v>-9958828485</v>
      </c>
      <c r="J132" s="73">
        <f t="shared" si="98"/>
        <v>2422439838</v>
      </c>
      <c r="K132" s="73">
        <f t="shared" si="98"/>
        <v>3721535284</v>
      </c>
      <c r="L132" s="73">
        <f t="shared" si="98"/>
        <v>24243035</v>
      </c>
      <c r="M132" s="73">
        <f t="shared" si="98"/>
        <v>9772000888</v>
      </c>
      <c r="N132" s="73">
        <f t="shared" si="98"/>
        <v>6856843769</v>
      </c>
      <c r="O132" s="73">
        <f t="shared" si="98"/>
        <v>167645552</v>
      </c>
      <c r="P132" s="73">
        <f t="shared" si="98"/>
        <v>212423035</v>
      </c>
      <c r="Q132" s="73">
        <f t="shared" si="98"/>
        <v>4066423197</v>
      </c>
      <c r="R132" s="73">
        <f t="shared" si="98"/>
        <v>668465994</v>
      </c>
      <c r="S132" s="73">
        <f t="shared" si="98"/>
        <v>626546789</v>
      </c>
      <c r="T132" s="73">
        <f t="shared" si="98"/>
        <v>764044263</v>
      </c>
      <c r="U132" s="73">
        <f t="shared" si="98"/>
        <v>709673874</v>
      </c>
      <c r="V132" s="73">
        <f t="shared" si="98"/>
        <v>201867582</v>
      </c>
      <c r="W132" s="73">
        <f t="shared" si="98"/>
        <v>690751605</v>
      </c>
      <c r="X132" s="73">
        <f t="shared" si="98"/>
        <v>436609040</v>
      </c>
      <c r="Y132" s="73">
        <f t="shared" si="98"/>
        <v>4234779075</v>
      </c>
      <c r="Z132" s="73">
        <f t="shared" si="98"/>
        <v>1208521042</v>
      </c>
      <c r="AA132" s="73">
        <f t="shared" si="98"/>
        <v>3653080573</v>
      </c>
      <c r="AB132" s="73">
        <f t="shared" si="98"/>
        <v>896735515</v>
      </c>
      <c r="AC132" s="73">
        <f t="shared" si="98"/>
        <v>1853354458</v>
      </c>
      <c r="AD132" s="73">
        <f t="shared" si="98"/>
        <v>475996742</v>
      </c>
      <c r="AE132" s="73">
        <f>AE25+AE51+AE78+AE98+AE130</f>
        <v>547409151</v>
      </c>
      <c r="AF132" s="73">
        <f t="shared" si="98"/>
        <v>3074224570</v>
      </c>
      <c r="AG132" s="23">
        <f>AH132/G132</f>
        <v>0.55432923622772956</v>
      </c>
      <c r="AH132" s="73">
        <f t="shared" ref="AH132:BE132" si="99">AH25+AH51+AH78+AH98+AH130</f>
        <v>26211798776</v>
      </c>
      <c r="AI132" s="73">
        <f t="shared" si="99"/>
        <v>787443240</v>
      </c>
      <c r="AJ132" s="55">
        <f t="shared" si="99"/>
        <v>2876852199</v>
      </c>
      <c r="AK132" s="55">
        <f t="shared" si="99"/>
        <v>2000000</v>
      </c>
      <c r="AL132" s="55">
        <f t="shared" si="99"/>
        <v>2857403482</v>
      </c>
      <c r="AM132" s="55">
        <f t="shared" si="99"/>
        <v>6855066956</v>
      </c>
      <c r="AN132" s="55">
        <f t="shared" si="99"/>
        <v>139547293</v>
      </c>
      <c r="AO132" s="73">
        <f t="shared" si="99"/>
        <v>202400000</v>
      </c>
      <c r="AP132" s="73">
        <f t="shared" si="99"/>
        <v>2383924172</v>
      </c>
      <c r="AQ132" s="73">
        <f t="shared" si="99"/>
        <v>23499931</v>
      </c>
      <c r="AR132" s="73">
        <f t="shared" si="99"/>
        <v>21467891</v>
      </c>
      <c r="AS132" s="73">
        <f t="shared" si="99"/>
        <v>12049526</v>
      </c>
      <c r="AT132" s="73">
        <f t="shared" si="99"/>
        <v>361570049</v>
      </c>
      <c r="AU132" s="73">
        <f t="shared" si="99"/>
        <v>0</v>
      </c>
      <c r="AV132" s="73">
        <f t="shared" si="99"/>
        <v>42007000</v>
      </c>
      <c r="AW132" s="73">
        <f t="shared" si="99"/>
        <v>7388999</v>
      </c>
      <c r="AX132" s="73">
        <f t="shared" si="99"/>
        <v>3251816235</v>
      </c>
      <c r="AY132" s="73">
        <f t="shared" si="99"/>
        <v>779197894</v>
      </c>
      <c r="AZ132" s="73">
        <f t="shared" si="99"/>
        <v>1800786890</v>
      </c>
      <c r="BA132" s="73">
        <f t="shared" si="99"/>
        <v>511960294</v>
      </c>
      <c r="BB132" s="73">
        <f t="shared" si="99"/>
        <v>871169517</v>
      </c>
      <c r="BC132" s="73">
        <f t="shared" si="99"/>
        <v>331087169</v>
      </c>
      <c r="BD132" s="73">
        <f t="shared" si="99"/>
        <v>44817066</v>
      </c>
      <c r="BE132" s="73">
        <f t="shared" si="99"/>
        <v>2048342973</v>
      </c>
      <c r="BF132" s="77">
        <f>1-AG132</f>
        <v>0.44567076377227044</v>
      </c>
      <c r="BG132" s="73">
        <f t="shared" ref="BG132:CD132" si="100">BG25+BG51+BG78+BG98+BG130</f>
        <v>21073816095</v>
      </c>
      <c r="BH132" s="73">
        <f t="shared" si="100"/>
        <v>1634996598</v>
      </c>
      <c r="BI132" s="55">
        <f t="shared" si="100"/>
        <v>844683085</v>
      </c>
      <c r="BJ132" s="55">
        <f t="shared" si="100"/>
        <v>22243035</v>
      </c>
      <c r="BK132" s="55">
        <f t="shared" si="100"/>
        <v>6914597406</v>
      </c>
      <c r="BL132" s="55">
        <f t="shared" si="100"/>
        <v>1776813</v>
      </c>
      <c r="BM132" s="55">
        <f t="shared" si="100"/>
        <v>28098259</v>
      </c>
      <c r="BN132" s="73">
        <f t="shared" si="100"/>
        <v>10023035</v>
      </c>
      <c r="BO132" s="73">
        <f t="shared" si="100"/>
        <v>1682499025</v>
      </c>
      <c r="BP132" s="73">
        <f t="shared" si="100"/>
        <v>644966063</v>
      </c>
      <c r="BQ132" s="73">
        <f t="shared" si="100"/>
        <v>605078898</v>
      </c>
      <c r="BR132" s="73">
        <f t="shared" si="100"/>
        <v>751994737</v>
      </c>
      <c r="BS132" s="73">
        <f t="shared" si="100"/>
        <v>348103825</v>
      </c>
      <c r="BT132" s="73">
        <f t="shared" si="100"/>
        <v>201867582</v>
      </c>
      <c r="BU132" s="73">
        <f t="shared" si="100"/>
        <v>648744605</v>
      </c>
      <c r="BV132" s="73">
        <f t="shared" si="100"/>
        <v>429220041</v>
      </c>
      <c r="BW132" s="73">
        <f t="shared" si="100"/>
        <v>982962840</v>
      </c>
      <c r="BX132" s="73">
        <f t="shared" si="100"/>
        <v>429323148</v>
      </c>
      <c r="BY132" s="73">
        <f t="shared" si="100"/>
        <v>1852293683</v>
      </c>
      <c r="BZ132" s="73">
        <f t="shared" si="100"/>
        <v>384775221</v>
      </c>
      <c r="CA132" s="73">
        <f t="shared" si="100"/>
        <v>982184941</v>
      </c>
      <c r="CB132" s="73">
        <f t="shared" si="100"/>
        <v>144909573</v>
      </c>
      <c r="CC132" s="73">
        <f t="shared" si="100"/>
        <v>502592085</v>
      </c>
      <c r="CD132" s="73">
        <f t="shared" si="100"/>
        <v>1025881597</v>
      </c>
      <c r="CE132" s="23">
        <f>CF132/G132</f>
        <v>0.55432923622772956</v>
      </c>
      <c r="CF132" s="73">
        <f>CF25+CF51+CF78+CF98+CF130</f>
        <v>26211798776</v>
      </c>
      <c r="CG132" s="73">
        <f>CG25+CG51+CG78+CG98+CG130</f>
        <v>787443240</v>
      </c>
      <c r="CH132" s="73">
        <f>CH25+CH51+CH78+CH98+CH130</f>
        <v>2876852199</v>
      </c>
      <c r="CI132" s="73">
        <f>CI25+CI51+CI78+CI98+CI130</f>
        <v>2000000</v>
      </c>
      <c r="CJ132" s="73">
        <f t="shared" ref="CJ132:DC132" si="101">CJ25+CJ51+CJ78+CJ98+CJ130</f>
        <v>2857403482</v>
      </c>
      <c r="CK132" s="73">
        <f t="shared" si="101"/>
        <v>6855066956</v>
      </c>
      <c r="CL132" s="73">
        <f t="shared" si="101"/>
        <v>139547293</v>
      </c>
      <c r="CM132" s="73">
        <f t="shared" si="101"/>
        <v>202400000</v>
      </c>
      <c r="CN132" s="73">
        <f t="shared" si="101"/>
        <v>2383924172</v>
      </c>
      <c r="CO132" s="73">
        <f t="shared" si="101"/>
        <v>23499931</v>
      </c>
      <c r="CP132" s="73">
        <f t="shared" si="101"/>
        <v>21467891</v>
      </c>
      <c r="CQ132" s="73">
        <f t="shared" si="101"/>
        <v>12049526</v>
      </c>
      <c r="CR132" s="73">
        <f t="shared" si="101"/>
        <v>361570049</v>
      </c>
      <c r="CS132" s="73">
        <f t="shared" si="101"/>
        <v>0</v>
      </c>
      <c r="CT132" s="73">
        <f t="shared" si="101"/>
        <v>42007000</v>
      </c>
      <c r="CU132" s="73">
        <f t="shared" si="101"/>
        <v>7388999</v>
      </c>
      <c r="CV132" s="73">
        <f t="shared" si="101"/>
        <v>3251816235</v>
      </c>
      <c r="CW132" s="73">
        <f t="shared" si="101"/>
        <v>779197894</v>
      </c>
      <c r="CX132" s="73">
        <f t="shared" si="101"/>
        <v>1800786890</v>
      </c>
      <c r="CY132" s="73">
        <f t="shared" si="101"/>
        <v>511960294</v>
      </c>
      <c r="CZ132" s="73">
        <f t="shared" si="101"/>
        <v>871169517</v>
      </c>
      <c r="DA132" s="73">
        <f t="shared" si="101"/>
        <v>331087169</v>
      </c>
      <c r="DB132" s="73">
        <f t="shared" si="101"/>
        <v>44817066</v>
      </c>
      <c r="DC132" s="73">
        <f t="shared" si="101"/>
        <v>2048342973</v>
      </c>
      <c r="DD132" s="23">
        <f>1-CE132</f>
        <v>0.44567076377227044</v>
      </c>
      <c r="DE132" s="73">
        <f t="shared" ref="DE132:EB132" si="102">DE25+DE51+DE78+DE98+DE130</f>
        <v>21073816095</v>
      </c>
      <c r="DF132" s="73">
        <f t="shared" si="102"/>
        <v>1634996598</v>
      </c>
      <c r="DG132" s="73">
        <f t="shared" si="102"/>
        <v>844683085</v>
      </c>
      <c r="DH132" s="73">
        <f t="shared" si="102"/>
        <v>22243035</v>
      </c>
      <c r="DI132" s="73">
        <f t="shared" si="102"/>
        <v>6914597406</v>
      </c>
      <c r="DJ132" s="73">
        <f t="shared" si="102"/>
        <v>1776813</v>
      </c>
      <c r="DK132" s="73">
        <f t="shared" si="102"/>
        <v>28098259</v>
      </c>
      <c r="DL132" s="73">
        <f t="shared" si="102"/>
        <v>10023035</v>
      </c>
      <c r="DM132" s="73">
        <f t="shared" si="102"/>
        <v>1682499025</v>
      </c>
      <c r="DN132" s="73">
        <f t="shared" si="102"/>
        <v>644966063</v>
      </c>
      <c r="DO132" s="73">
        <f t="shared" si="102"/>
        <v>605078898</v>
      </c>
      <c r="DP132" s="73">
        <f t="shared" si="102"/>
        <v>751994737</v>
      </c>
      <c r="DQ132" s="73">
        <f t="shared" si="102"/>
        <v>348103825</v>
      </c>
      <c r="DR132" s="73">
        <f t="shared" si="102"/>
        <v>201867582</v>
      </c>
      <c r="DS132" s="73">
        <f t="shared" si="102"/>
        <v>648744605</v>
      </c>
      <c r="DT132" s="73">
        <f t="shared" si="102"/>
        <v>429220041</v>
      </c>
      <c r="DU132" s="73">
        <f t="shared" si="102"/>
        <v>982962840</v>
      </c>
      <c r="DV132" s="73">
        <f t="shared" si="102"/>
        <v>429323148</v>
      </c>
      <c r="DW132" s="73">
        <f t="shared" si="102"/>
        <v>1852293683</v>
      </c>
      <c r="DX132" s="73">
        <f t="shared" si="102"/>
        <v>384775221</v>
      </c>
      <c r="DY132" s="73">
        <f t="shared" si="102"/>
        <v>982184941</v>
      </c>
      <c r="DZ132" s="73">
        <f t="shared" si="102"/>
        <v>144909573</v>
      </c>
      <c r="EA132" s="73">
        <f t="shared" si="102"/>
        <v>502592085</v>
      </c>
      <c r="EB132" s="73">
        <f t="shared" si="102"/>
        <v>1025881597</v>
      </c>
      <c r="ED132" s="138" t="s">
        <v>41</v>
      </c>
      <c r="EE132" s="27">
        <f>EE25+EE51+EE78+EE98+EE130</f>
        <v>47285614871</v>
      </c>
      <c r="EF132" s="27">
        <f>EF25+EF51+EF78+EF98+EF130</f>
        <v>26211798776</v>
      </c>
      <c r="EG132" s="140">
        <f>+CE132</f>
        <v>0.55432923622772956</v>
      </c>
    </row>
    <row r="133" spans="1:137" ht="5.25" customHeight="1" x14ac:dyDescent="0.25">
      <c r="C133" s="78"/>
      <c r="D133" s="78"/>
      <c r="E133" s="79"/>
      <c r="F133" s="79"/>
      <c r="G133" s="80"/>
      <c r="H133" s="81"/>
      <c r="I133" s="81"/>
      <c r="J133" s="80"/>
      <c r="K133" s="82"/>
      <c r="L133" s="80"/>
      <c r="M133" s="80"/>
      <c r="N133" s="80"/>
      <c r="O133" s="83"/>
      <c r="P133" s="83"/>
      <c r="Q133" s="83"/>
      <c r="R133" s="83"/>
      <c r="S133" s="83"/>
      <c r="T133" s="83"/>
      <c r="U133" s="83"/>
      <c r="V133" s="83"/>
      <c r="W133" s="83"/>
      <c r="X133" s="83"/>
      <c r="Y133" s="83"/>
      <c r="Z133" s="83"/>
      <c r="AA133" s="83"/>
      <c r="AB133" s="83"/>
      <c r="AC133" s="83"/>
      <c r="AD133" s="83"/>
      <c r="AE133" s="83"/>
      <c r="AF133" s="83"/>
      <c r="AG133" s="84"/>
      <c r="AH133" s="85"/>
      <c r="AI133" s="85"/>
      <c r="AJ133" s="85"/>
      <c r="AK133" s="85"/>
      <c r="AL133" s="85"/>
      <c r="AM133" s="85"/>
      <c r="AN133" s="85"/>
      <c r="AO133" s="85"/>
      <c r="AP133" s="83"/>
      <c r="AQ133" s="83"/>
      <c r="AR133" s="83"/>
      <c r="AS133" s="83"/>
      <c r="AT133" s="83"/>
      <c r="AU133" s="83"/>
      <c r="AV133" s="83"/>
      <c r="AW133" s="83"/>
      <c r="AX133" s="83"/>
      <c r="AY133" s="83"/>
      <c r="AZ133" s="83"/>
      <c r="BA133" s="83"/>
      <c r="BB133" s="83"/>
      <c r="BC133" s="83"/>
      <c r="BD133" s="83"/>
      <c r="BE133" s="83"/>
      <c r="BF133" s="84"/>
      <c r="BG133" s="85"/>
      <c r="BH133" s="85"/>
      <c r="BI133" s="85"/>
      <c r="BJ133" s="85"/>
      <c r="BK133" s="85"/>
      <c r="BL133" s="85"/>
      <c r="BM133" s="85"/>
      <c r="BN133" s="86"/>
      <c r="BO133" s="86"/>
      <c r="BP133" s="86"/>
      <c r="BQ133" s="86"/>
      <c r="BR133" s="86"/>
      <c r="BS133" s="86"/>
      <c r="BT133" s="86"/>
      <c r="BU133" s="86"/>
      <c r="BV133" s="86"/>
      <c r="BW133" s="86"/>
      <c r="BX133" s="86"/>
      <c r="BY133" s="86"/>
      <c r="BZ133" s="86"/>
      <c r="CA133" s="86"/>
      <c r="CB133" s="86"/>
      <c r="CC133" s="86"/>
      <c r="CD133" s="86"/>
      <c r="CE133" s="23"/>
      <c r="CF133" s="87"/>
      <c r="CG133" s="88"/>
      <c r="CH133" s="88"/>
      <c r="CI133" s="88"/>
      <c r="CJ133" s="88"/>
      <c r="CK133" s="88"/>
      <c r="CL133" s="88"/>
      <c r="CM133" s="83"/>
      <c r="CN133" s="83"/>
      <c r="CO133" s="83"/>
      <c r="CP133" s="83"/>
      <c r="CQ133" s="83"/>
      <c r="CR133" s="83"/>
      <c r="CS133" s="83"/>
      <c r="CT133" s="83"/>
      <c r="CU133" s="83"/>
      <c r="CV133" s="83"/>
      <c r="CW133" s="83"/>
      <c r="CX133" s="83"/>
      <c r="CY133" s="83"/>
      <c r="CZ133" s="83"/>
      <c r="DA133" s="83"/>
      <c r="DB133" s="83"/>
      <c r="DC133" s="83"/>
      <c r="DD133" s="23"/>
      <c r="DE133" s="89"/>
      <c r="DF133" s="85"/>
      <c r="DG133" s="85"/>
      <c r="DH133" s="85"/>
      <c r="DI133" s="85"/>
      <c r="DJ133" s="85"/>
      <c r="DK133" s="85"/>
      <c r="DL133" s="86"/>
      <c r="DM133" s="86"/>
      <c r="DN133" s="86"/>
      <c r="DO133" s="86"/>
      <c r="DP133" s="86"/>
      <c r="DQ133" s="86"/>
      <c r="DR133" s="86"/>
      <c r="DS133" s="86"/>
      <c r="DT133" s="86"/>
      <c r="DU133" s="86"/>
      <c r="DV133" s="86"/>
      <c r="DW133" s="86"/>
      <c r="DX133" s="86"/>
      <c r="DY133" s="86"/>
      <c r="DZ133" s="86"/>
      <c r="EA133" s="86"/>
      <c r="EB133" s="86"/>
      <c r="ED133" s="131"/>
      <c r="EE133" s="131"/>
      <c r="EF133" s="132"/>
      <c r="EG133" s="132"/>
    </row>
    <row r="134" spans="1:137" ht="29.4" customHeight="1" x14ac:dyDescent="0.3">
      <c r="C134" s="90"/>
      <c r="D134" s="91" t="s">
        <v>372</v>
      </c>
      <c r="E134" s="84">
        <v>111</v>
      </c>
      <c r="F134" s="92"/>
      <c r="G134" s="93">
        <f ca="1">SUMIF($E$7:$G$130,"111",$G$7:$J$129)</f>
        <v>14944040739</v>
      </c>
      <c r="H134" s="94">
        <f ca="1">SUMIF($E$7:$H$130,"111",$H$7:$J$129)</f>
        <v>3809136000</v>
      </c>
      <c r="I134" s="94">
        <f ca="1">SUMIF($E$7:$I$130,"111",$I$7:$J$129)</f>
        <v>-11134904739</v>
      </c>
      <c r="J134" s="93">
        <f>SUMIF($E$7:$E$130,"111",$J$7:$J$130)</f>
        <v>434799132</v>
      </c>
      <c r="K134" s="93">
        <f>SUMIF($E$7:$E$130,"111",$K$7:$K$130)</f>
        <v>63671594</v>
      </c>
      <c r="L134" s="93">
        <f>SUMIF($E$7:$E$130,"111",$L$7:$L$130)</f>
        <v>0</v>
      </c>
      <c r="M134" s="93">
        <f>SUMIF($E$7:$E$130,"111",$M$7:$M$130)</f>
        <v>4054720759</v>
      </c>
      <c r="N134" s="95">
        <f>SUMIF($E$7:$E$129,"111",$N$7:$N$129)</f>
        <v>6856843769</v>
      </c>
      <c r="O134" s="92">
        <f>SUMIF($E$7:$E$130,"111",$O$7:$O$130)</f>
        <v>0</v>
      </c>
      <c r="P134" s="92">
        <f>SUMIF($E$7:$E$129,"111",$P$7:$P$129)</f>
        <v>0</v>
      </c>
      <c r="Q134" s="92">
        <f>SUMIF($E$7:$E$129,"111",$Q$7:$Q$129)</f>
        <v>510290626</v>
      </c>
      <c r="R134" s="92">
        <f>SUMIF($E$7:$E$129,"111",$R$7:$R$129)</f>
        <v>593465994</v>
      </c>
      <c r="S134" s="92">
        <f>SUMIF($E$7:$E$129,"111",$S$7:$S$129)</f>
        <v>100000000</v>
      </c>
      <c r="T134" s="92">
        <f>SUMIF($E$7:$E$129,"111",$T$7:$T$129)</f>
        <v>664044263</v>
      </c>
      <c r="U134" s="92">
        <f>SUMIF($E$7:$E$129,"111",$U$7:$U$129)</f>
        <v>0</v>
      </c>
      <c r="V134" s="92">
        <f>SUMIF($E$7:$E$129,"111",$V$7:$V$129)</f>
        <v>154630269</v>
      </c>
      <c r="W134" s="92">
        <f>SUMIF($E$7:$E$129,"111",$W$7:$W$129)</f>
        <v>614527934</v>
      </c>
      <c r="X134" s="92">
        <f>SUMIF($E$7:$E$129,"111",$X$7:$X$129)</f>
        <v>290776495</v>
      </c>
      <c r="Y134" s="92">
        <f>SUMIF($E$7:$E$129,"111",$Y$7:$Y$129)</f>
        <v>0</v>
      </c>
      <c r="Z134" s="92">
        <f>SUMIF($E$7:$E$129,"111",$Z$7:$Z$129)</f>
        <v>0</v>
      </c>
      <c r="AA134" s="92">
        <f>SUMIF($E$7:$E$129,"111",$AA$7:$AA$129)</f>
        <v>404000000</v>
      </c>
      <c r="AB134" s="92">
        <f>SUMIF($E$7:$E$129,"111",$AB$7:$AB$129)</f>
        <v>0</v>
      </c>
      <c r="AC134" s="92">
        <f>SUMIF($E$7:$E$129,"111",$AC$7:$AC$129)</f>
        <v>0</v>
      </c>
      <c r="AD134" s="92">
        <f>SUMIF($E$7:$E$129,"111",$AC$7:$AC$129)</f>
        <v>0</v>
      </c>
      <c r="AE134" s="92">
        <f>SUMIF($E$7:$E$129,"111",$AE$7:$AE$129)</f>
        <v>77846638</v>
      </c>
      <c r="AF134" s="92">
        <f>SUMIF($E$7:$E$129,"111",$AF$7:$AF$129)</f>
        <v>124423266</v>
      </c>
      <c r="AG134" s="23">
        <f t="shared" ref="AG134:AG141" ca="1" si="103">AH134/G134</f>
        <v>0.5603795040617896</v>
      </c>
      <c r="AH134" s="95">
        <f>SUMIF($E$7:$E$129,"111",$AH$7:$AH$129)</f>
        <v>8374334138</v>
      </c>
      <c r="AI134" s="95">
        <f>SUMIF($E$7:$E$129,"111",$AI$7:$AI$129)</f>
        <v>434799132</v>
      </c>
      <c r="AJ134" s="95">
        <f>SUMIF($E$7:$E$129,"111",$AJ$7:$AJ$129)</f>
        <v>0</v>
      </c>
      <c r="AK134" s="95">
        <f>SUMIF($E$7:$E$129,"111",$AK$7:$AK$129)</f>
        <v>0</v>
      </c>
      <c r="AL134" s="95">
        <f>SUMIF($E$7:$E$129,"111",$AL$7:$AL$129)</f>
        <v>477638105</v>
      </c>
      <c r="AM134" s="95">
        <f>SUMIF($E$7:$E$129,"111",$AM$7:$AM$129)</f>
        <v>6855066956</v>
      </c>
      <c r="AN134" s="95">
        <f>SUMIF($E$7:$E$129,"111",$AN$7:$AN$129)</f>
        <v>0</v>
      </c>
      <c r="AO134" s="95">
        <f>SUMIF($E$7:$E$129,"111",$AO$7:$AO$129)</f>
        <v>0</v>
      </c>
      <c r="AP134" s="95">
        <f>SUMIF($E$7:$E$129,"111",$AP$7:$AP$129)</f>
        <v>510290626</v>
      </c>
      <c r="AQ134" s="95">
        <f>SUMIF($E$7:$E$129,"111",$AQ$7:$AQ$129)</f>
        <v>0</v>
      </c>
      <c r="AR134" s="95">
        <f>SUMIF($E$7:$E$129,"111",$AR$7:$AR$129)</f>
        <v>0</v>
      </c>
      <c r="AS134" s="95">
        <f>SUMIF($E$7:$E$129,"111",$AS$7:$AS$129)</f>
        <v>0</v>
      </c>
      <c r="AT134" s="95">
        <f>SUMIF($E$7:$E$129,"111",$AT$7:$AT$129)</f>
        <v>0</v>
      </c>
      <c r="AU134" s="95">
        <f>SUMIF($E$7:$E$129,"111",$AU$7:$AU$129)</f>
        <v>0</v>
      </c>
      <c r="AV134" s="95">
        <f>SUMIF($E$7:$E$129,"111",$AV$7:$AV$129)</f>
        <v>42007000</v>
      </c>
      <c r="AW134" s="95">
        <f>SUMIF($E$7:$E$129,"111",$AW$7:$AW$129)</f>
        <v>0</v>
      </c>
      <c r="AX134" s="95">
        <f>SUMIF($E$7:$E$129,"111",$AX$7:$AX$129)</f>
        <v>0</v>
      </c>
      <c r="AY134" s="95">
        <f>SUMIF($E$7:$E$129,"111",$AY$7:$AY$129)</f>
        <v>0</v>
      </c>
      <c r="AZ134" s="95">
        <f>SUMIF($E$7:$E$129,"111",$AZ$7:$AZ$129)</f>
        <v>13021449</v>
      </c>
      <c r="BA134" s="95">
        <f>SUMIF($E$7:$E$129,"111",$BA$7:$BA$129)</f>
        <v>0</v>
      </c>
      <c r="BB134" s="95">
        <f>SUMIF($E$7:$E$129,"111",$BB$7:$BB$129)</f>
        <v>0</v>
      </c>
      <c r="BC134" s="95">
        <f>SUMIF($E$7:$E$129,"111",$BC$7:$BC$129)</f>
        <v>0</v>
      </c>
      <c r="BD134" s="95">
        <f>SUMIF($E$7:$E$129,"111",$BD$7:$BD$129)</f>
        <v>0</v>
      </c>
      <c r="BE134" s="95">
        <f>SUMIF($E$7:$E$129,"111",$BE$7:$BE$129)</f>
        <v>41510870</v>
      </c>
      <c r="BF134" s="77">
        <f t="shared" ref="BF134:BF141" ca="1" si="104">1-AG134</f>
        <v>0.4396204959382104</v>
      </c>
      <c r="BG134" s="26">
        <f t="shared" ref="BG134:BG140" si="105">SUM(BH134:CD134)</f>
        <v>6569706601</v>
      </c>
      <c r="BH134" s="96">
        <f>SUMIF($E$7:$E$129,"111",$BH$7:$BH$129)</f>
        <v>0</v>
      </c>
      <c r="BI134" s="96">
        <f>SUMIF($E$7:$E$129,"111",$BI$7:$BI$129)</f>
        <v>63671594</v>
      </c>
      <c r="BJ134" s="96">
        <f>SUMIF($E$7:$E$129,"111",$BJ$7:$BJ$129)</f>
        <v>0</v>
      </c>
      <c r="BK134" s="96">
        <f>SUMIF($E$7:$E$129,"111",$BK$7:$BK$129)</f>
        <v>3577082654</v>
      </c>
      <c r="BL134" s="96">
        <f>SUMIF($E$7:$E$129,"111",$BL$7:$BL$129)</f>
        <v>1776813</v>
      </c>
      <c r="BM134" s="96">
        <f>SUMIF($E$7:$E$129,"111",$BM$7:$BM$129)</f>
        <v>0</v>
      </c>
      <c r="BN134" s="96">
        <f>SUMIF($E$7:$E$129,"111",$BN$7:$BN$129)</f>
        <v>0</v>
      </c>
      <c r="BO134" s="96">
        <f>SUMIF($E$7:$E$129,"111",$BO$7:$BO$129)</f>
        <v>0</v>
      </c>
      <c r="BP134" s="96">
        <f>SUMIF($E$7:$E$129,"111",$BP$7:$BP$129)</f>
        <v>593465994</v>
      </c>
      <c r="BQ134" s="96">
        <f>SUMIF($E$7:$E$129,"111",$BQ$7:$BQ$129)</f>
        <v>100000000</v>
      </c>
      <c r="BR134" s="96">
        <f>SUMIF($E$7:$E$129,"111",$BR$7:$BR$129)</f>
        <v>664044263</v>
      </c>
      <c r="BS134" s="96">
        <f>SUMIF($E$7:$E$129,"111",$BS$7:$BS$129)</f>
        <v>0</v>
      </c>
      <c r="BT134" s="96">
        <f>SUMIF($E$7:$E$129,"111",$BT$7:$BT$129)</f>
        <v>154630269</v>
      </c>
      <c r="BU134" s="96">
        <f>SUMIF($E$7:$E$129,"111",$BU$7:$BU$129)</f>
        <v>572520934</v>
      </c>
      <c r="BV134" s="96">
        <f>SUMIF($E$7:$E$129,"111",$BV$7:$BV$129)</f>
        <v>290776495</v>
      </c>
      <c r="BW134" s="96">
        <f>SUMIF($E$7:$E$129,"111",$BW$7:$BW$129)</f>
        <v>0</v>
      </c>
      <c r="BX134" s="96">
        <f>SUMIF($E$7:$E$129,"111",$BX$7:$BX$129)</f>
        <v>0</v>
      </c>
      <c r="BY134" s="96">
        <f>SUMIF($E$7:$E$129,"111",$BY$7:$BY$129)</f>
        <v>390978551</v>
      </c>
      <c r="BZ134" s="96">
        <f>SUMIF($E$7:$E$129,"111",$BZ$7:$BZ$129)</f>
        <v>0</v>
      </c>
      <c r="CA134" s="96">
        <f>SUMIF($E$7:$E$129,"111",$CA$7:$CA$129)</f>
        <v>0</v>
      </c>
      <c r="CB134" s="96">
        <f>SUMIF($E$7:$E$129,"111",$CB$7:$CB$129)</f>
        <v>0</v>
      </c>
      <c r="CC134" s="96">
        <f>SUMIF($E$7:$E$129,"111",$CC$7:$CC$129)</f>
        <v>77846638</v>
      </c>
      <c r="CD134" s="97">
        <f>SUMIF($E$7:$E$129,"111",$CD$7:$CD$129)</f>
        <v>82912396</v>
      </c>
      <c r="CE134" s="23">
        <f t="shared" ref="CE134:CE141" ca="1" si="106">CF134/G134</f>
        <v>0.5603795040617896</v>
      </c>
      <c r="CF134" s="41">
        <f t="shared" ref="CF134:CF140" si="107">SUM(CG134:DC134)</f>
        <v>8374334138</v>
      </c>
      <c r="CG134" s="95">
        <f>SUMIF($E$7:$E$129,"111",$CG$7:$CG$129)</f>
        <v>434799132</v>
      </c>
      <c r="CH134" s="95">
        <f>SUMIF($E$7:$E$129,"111",$CH$7:$CH$129)</f>
        <v>0</v>
      </c>
      <c r="CI134" s="95">
        <f>SUMIF($E$7:$E$129,"111",$CI$7:$CI$129)</f>
        <v>0</v>
      </c>
      <c r="CJ134" s="95">
        <f>SUMIF($E$7:$E$129,"111",$CJ$7:$CJ$129)</f>
        <v>477638105</v>
      </c>
      <c r="CK134" s="95">
        <f>SUMIF($E$7:$E$129,"111",$CK$7:$CK$129)</f>
        <v>6855066956</v>
      </c>
      <c r="CL134" s="95">
        <f>SUMIF($E$7:$E$129,"111",$CL$7:$CL$129)</f>
        <v>0</v>
      </c>
      <c r="CM134" s="95">
        <f>SUMIF($E$7:$E$129,"111",$CM$7:$CM$129)</f>
        <v>0</v>
      </c>
      <c r="CN134" s="95">
        <f>SUMIF($E$7:$E$129,"111",$CN$7:$CN$129)</f>
        <v>510290626</v>
      </c>
      <c r="CO134" s="95">
        <f>SUMIF($E$7:$E$129,"111",$CO$7:$CO$129)</f>
        <v>0</v>
      </c>
      <c r="CP134" s="95">
        <f>SUMIF($E$7:$E$129,"111",$CP$7:$CP$129)</f>
        <v>0</v>
      </c>
      <c r="CQ134" s="95">
        <f>SUMIF($E$7:$E$129,"111",$CQ$7:$CQ$129)</f>
        <v>0</v>
      </c>
      <c r="CR134" s="95">
        <f>SUMIF($E$7:$E$129,"111",$CR$7:$CR$129)</f>
        <v>0</v>
      </c>
      <c r="CS134" s="95">
        <f>SUMIF($E$7:$E$129,"111",$CS$7:$CS$129)</f>
        <v>0</v>
      </c>
      <c r="CT134" s="95">
        <f>SUMIF($E$7:$E$129,"111",$CT$7:$CT$129)</f>
        <v>42007000</v>
      </c>
      <c r="CU134" s="95">
        <f>SUMIF($E$7:$E$129,"111",$CU$7:$CU$129)</f>
        <v>0</v>
      </c>
      <c r="CV134" s="95">
        <f>SUMIF($E$7:$E$129,"111",$CV$7:$CV$129)</f>
        <v>0</v>
      </c>
      <c r="CW134" s="95">
        <f>SUMIF($E$7:$E$129,"111",$CW$7:$CW$129)</f>
        <v>0</v>
      </c>
      <c r="CX134" s="95">
        <f>SUMIF($E$7:$E$129,"111",$CX$7:$CX$129)</f>
        <v>13021449</v>
      </c>
      <c r="CY134" s="95">
        <f>SUMIF($E$7:$E$129,"111",$CY$7:$CY$129)</f>
        <v>0</v>
      </c>
      <c r="CZ134" s="95">
        <f>SUMIF($E$7:$E$129,"111",$CZ$7:$CZ$129)</f>
        <v>0</v>
      </c>
      <c r="DA134" s="95">
        <f>SUMIF($E$7:$E$129,"111",$DA$7:$DA$129)</f>
        <v>0</v>
      </c>
      <c r="DB134" s="95">
        <f>SUMIF($E$7:$E$129,"111",$DB$7:$DB$129)</f>
        <v>0</v>
      </c>
      <c r="DC134" s="98">
        <f>SUMIF($E$7:$E$129,"111",$DC$7:$DC$129)</f>
        <v>41510870</v>
      </c>
      <c r="DD134" s="23">
        <f t="shared" ref="DD134:DD141" ca="1" si="108">1-CE134</f>
        <v>0.4396204959382104</v>
      </c>
      <c r="DE134" s="26">
        <f t="shared" ref="DE134:DE140" si="109">SUM(DF134:EB134)</f>
        <v>6569706601</v>
      </c>
      <c r="DF134" s="96">
        <f>SUMIF($E$7:$E$129,"111",$DF$7:$DF$129)</f>
        <v>0</v>
      </c>
      <c r="DG134" s="96">
        <f>SUMIF($E$7:$E$129,"111",$DG$7:$DG$129)</f>
        <v>63671594</v>
      </c>
      <c r="DH134" s="96">
        <f>SUMIF($E$7:$E$129,"111",$DH$7:$DH$129)</f>
        <v>0</v>
      </c>
      <c r="DI134" s="96">
        <f>SUMIF($E$7:$E$129,"111",$DI$7:$DI$129)</f>
        <v>3577082654</v>
      </c>
      <c r="DJ134" s="96">
        <f>SUMIF($E$7:$E$129,"111",$DJ$7:$DJ$129)</f>
        <v>1776813</v>
      </c>
      <c r="DK134" s="96">
        <f>SUMIF($E$7:$E$129,"111",$DK$7:$DK$129)</f>
        <v>0</v>
      </c>
      <c r="DL134" s="96">
        <f>SUMIF($E$7:$E$129,"111",$DL$7:$DL$129)</f>
        <v>0</v>
      </c>
      <c r="DM134" s="96">
        <f>SUMIF($E$7:$E$129,"111",$DM$7:$DM$129)</f>
        <v>0</v>
      </c>
      <c r="DN134" s="96">
        <f>SUMIF($E$7:$E$129,"111",$DN$7:$DN$129)</f>
        <v>593465994</v>
      </c>
      <c r="DO134" s="96">
        <f>SUMIF($E$7:$E$129,"111",$DO$7:$DO$129)</f>
        <v>100000000</v>
      </c>
      <c r="DP134" s="96">
        <f>SUMIF($E$7:$E$129,"111",$DP$7:$DP$129)</f>
        <v>664044263</v>
      </c>
      <c r="DQ134" s="99">
        <f>SUMIF($E$7:$E$129,"111",$DQ$7:$DQ$129)</f>
        <v>0</v>
      </c>
      <c r="DR134" s="99">
        <f>SUMIF($E$7:$E$129,"111",$DR$7:$DR$129)</f>
        <v>154630269</v>
      </c>
      <c r="DS134" s="99">
        <f>SUMIF($E$7:$E$129,"111",$DS$7:$DS$129)</f>
        <v>572520934</v>
      </c>
      <c r="DT134" s="99">
        <f>SUMIF($E$7:$E$129,"111",$DT$7:$DT$129)</f>
        <v>290776495</v>
      </c>
      <c r="DU134" s="99">
        <f>SUMIF($E$7:$E$129,"111",$DU$7:$DU$129)</f>
        <v>0</v>
      </c>
      <c r="DV134" s="99">
        <f>SUMIF($E$7:$E$129,"111",$DV$7:$DV$129)</f>
        <v>0</v>
      </c>
      <c r="DW134" s="99">
        <f>SUMIF($E$7:$E$129,"111",$DW$7:$DW$129)</f>
        <v>390978551</v>
      </c>
      <c r="DX134" s="99">
        <f>SUMIF($E$7:$E$129,"111",$DX$7:$DX$129)</f>
        <v>0</v>
      </c>
      <c r="DY134" s="99">
        <f>SUMIF($E$7:$E$129,"111",$DY$7:$DY$129)</f>
        <v>0</v>
      </c>
      <c r="DZ134" s="99">
        <f>SUMIF($E$7:$E$129,"111",$DZ$7:$DZ$129)</f>
        <v>0</v>
      </c>
      <c r="EA134" s="99">
        <f>SUMIF($E$7:$E$129,"111",$EA$7:$EA$129)</f>
        <v>77846638</v>
      </c>
      <c r="EB134" s="99">
        <f>SUMIF($E$7:$E$129,"111",$EB$7:$EB$129)</f>
        <v>82912396</v>
      </c>
      <c r="ED134" s="131" t="s">
        <v>6</v>
      </c>
      <c r="EE134" s="131" t="s">
        <v>379</v>
      </c>
      <c r="EF134" s="132" t="s">
        <v>380</v>
      </c>
      <c r="EG134" s="132" t="s">
        <v>381</v>
      </c>
    </row>
    <row r="135" spans="1:137" ht="18" customHeight="1" x14ac:dyDescent="0.3">
      <c r="C135" s="100"/>
      <c r="D135" s="91" t="s">
        <v>373</v>
      </c>
      <c r="E135" s="84">
        <v>211</v>
      </c>
      <c r="F135" s="92"/>
      <c r="G135" s="93">
        <f ca="1">SUMIF($E$7:$G$130,"211",$G$7:$J$129)</f>
        <v>10487526512</v>
      </c>
      <c r="H135" s="94">
        <f ca="1">SUMIF($E$7:$H$130,"211",$H$7:$J$129)</f>
        <v>10099500000</v>
      </c>
      <c r="I135" s="94">
        <f ca="1">SUMIF($E$7:$I$130,"211",$I$7:$J$129)</f>
        <v>-388026512</v>
      </c>
      <c r="J135" s="93">
        <f>SUMIF($E$7:$E$130,"211",$J$7:$J$130)</f>
        <v>863411047</v>
      </c>
      <c r="K135" s="93">
        <f>SUMIF($E$7:$E$130,"211",$K$7:$K$130)</f>
        <v>791568417</v>
      </c>
      <c r="L135" s="93">
        <f>SUMIF($E$7:$E$130,"211",$L$7:$L$130)</f>
        <v>0</v>
      </c>
      <c r="M135" s="93">
        <f>SUMIF($E$7:$E$130,"211",$M$7:$M$130)</f>
        <v>4719708745</v>
      </c>
      <c r="N135" s="95">
        <f>SUMIF($E$7:$E$129,"211",$N$7:$N$129)</f>
        <v>0</v>
      </c>
      <c r="O135" s="92">
        <f>SUMIF($E$7:$E$129,"211",$O$7:$O$129)</f>
        <v>0</v>
      </c>
      <c r="P135" s="92">
        <f>SUMIF($E$7:$E$129,"211",$P$7:$P$129)</f>
        <v>212423035</v>
      </c>
      <c r="Q135" s="92">
        <f>SUMIF($E$7:$E$129,"211",$Q$7:$Q$129)</f>
        <v>150000000</v>
      </c>
      <c r="R135" s="92">
        <f>SUMIF($E$7:$E$129,"211",$R$7:$R$129)</f>
        <v>0</v>
      </c>
      <c r="S135" s="92">
        <f>SUMIF($E$7:$E$129,"211",$S$7:$S$129)</f>
        <v>346546789</v>
      </c>
      <c r="T135" s="92">
        <f>SUMIF($E$7:$E$129,"211",$T$7:$T$129)</f>
        <v>70000000</v>
      </c>
      <c r="U135" s="92">
        <f>SUMIF($E$7:$E$129,"211",$U$7:$U$129)</f>
        <v>620266250</v>
      </c>
      <c r="V135" s="92">
        <f>SUMIF($E$7:$E$129,"211",$V$7:$V$129)</f>
        <v>47237313</v>
      </c>
      <c r="W135" s="92">
        <f>SUMIF($E$7:$E$129,"211",$W$7:$W$129)</f>
        <v>76223671</v>
      </c>
      <c r="X135" s="92">
        <f>SUMIF($E$7:$E$129,"211",$X$7:$X$129)</f>
        <v>40997954</v>
      </c>
      <c r="Y135" s="92">
        <f>SUMIF($E$7:$E$129,"211",$Y$7:$Y$129)</f>
        <v>0</v>
      </c>
      <c r="Z135" s="92">
        <f>SUMIF($E$7:$E$129,"211",$Z$7:$Z$129)</f>
        <v>0</v>
      </c>
      <c r="AA135" s="92">
        <f>SUMIF($E$7:$E$129,"211",$AA$7:$AA$129)</f>
        <v>1288177577</v>
      </c>
      <c r="AB135" s="92">
        <f>SUMIF($E$7:$E$129,"211",$AB$7:$AB$129)</f>
        <v>90000000</v>
      </c>
      <c r="AC135" s="92">
        <f>SUMIF($E$7:$E$129,"211",$AC$7:$AC$129)</f>
        <v>124281898</v>
      </c>
      <c r="AD135" s="92"/>
      <c r="AE135" s="92">
        <f>SUMIF($E$7:$E$129,"211",$AE$7:$AE$129)</f>
        <v>46954549</v>
      </c>
      <c r="AF135" s="92">
        <f>SUMIF($E$7:$E$129,"211",$AF$7:$AF$129)</f>
        <v>999729267</v>
      </c>
      <c r="AG135" s="23">
        <f t="shared" ca="1" si="103"/>
        <v>0.40982956887708893</v>
      </c>
      <c r="AH135" s="95">
        <f>SUMIF($E$7:$E$129,"211",$AH$7:$AH$129)</f>
        <v>4298098469</v>
      </c>
      <c r="AI135" s="95">
        <f>SUMIF($E$7:$E$129,"211",$AI$7:$AI$129)</f>
        <v>11412775</v>
      </c>
      <c r="AJ135" s="95">
        <f>SUMIF($E$7:$E$129,"211",$AJ$7:$AJ$129)</f>
        <v>542369580</v>
      </c>
      <c r="AK135" s="95">
        <f>SUMIF($E$7:$E$129,"211",$AK$7:$AK$129)</f>
        <v>0</v>
      </c>
      <c r="AL135" s="95">
        <f>SUMIF($E$7:$E$129,"211",$AL$7:$AL$129)</f>
        <v>1766746262</v>
      </c>
      <c r="AM135" s="95">
        <f>SUMIF($E$7:$E$129,"211",$AM$7:$AM$129)</f>
        <v>0</v>
      </c>
      <c r="AN135" s="95">
        <f>SUMIF($E$7:$E$129,"211",$AN$7:$AN$129)</f>
        <v>0</v>
      </c>
      <c r="AO135" s="95">
        <f>SUMIF($E$7:$E$129,"211",$AO$7:$AO$129)</f>
        <v>202400000</v>
      </c>
      <c r="AP135" s="95">
        <f>SUMIF($E$7:$E$129,"211",$AP$7:$AP$129)</f>
        <v>35000000</v>
      </c>
      <c r="AQ135" s="95">
        <f>SUMIF($E$7:$E$129,"211",$AQ$7:$AQ$129)</f>
        <v>0</v>
      </c>
      <c r="AR135" s="95">
        <f>SUMIF($E$7:$E$129,"211",$AR$7:$AR$129)</f>
        <v>0</v>
      </c>
      <c r="AS135" s="95">
        <f>SUMIF($E$7:$E$129,"211",$AS$7:$AS$129)</f>
        <v>0</v>
      </c>
      <c r="AT135" s="95">
        <f>SUMIF($E$7:$E$129,"211",$AT$7:$AT$129)</f>
        <v>324980000</v>
      </c>
      <c r="AU135" s="95">
        <f>SUMIF($E$7:$E$129,"211",$AU$7:$AU$129)</f>
        <v>0</v>
      </c>
      <c r="AV135" s="95">
        <f>SUMIF($E$7:$E$129,"211",$AV$7:$AV$129)</f>
        <v>0</v>
      </c>
      <c r="AW135" s="95">
        <f>SUMIF($E$7:$E$129,"211",$AW$7:$AW$129)</f>
        <v>0</v>
      </c>
      <c r="AX135" s="95">
        <f>SUMIF($E$7:$E$129,"211",$AX$7:$AX$129)</f>
        <v>0</v>
      </c>
      <c r="AY135" s="95">
        <f>SUMIF($E$7:$E$129,"211",$AY$7:$AY$129)</f>
        <v>0</v>
      </c>
      <c r="AZ135" s="95">
        <f>SUMIF($E$7:$E$129,"211",$AZ$7:$AZ$129)</f>
        <v>745957544</v>
      </c>
      <c r="BA135" s="95">
        <f>SUMIF($E$7:$E$129,"211",$BA$7:$BA$129)</f>
        <v>82861933</v>
      </c>
      <c r="BB135" s="95">
        <f>SUMIF($E$7:$E$129,"211",$BB$7:$BB$129)</f>
        <v>49963689</v>
      </c>
      <c r="BC135" s="95">
        <f>SUMIF($E$7:$E$129,"211",$BC$7:$BC$129)</f>
        <v>0</v>
      </c>
      <c r="BD135" s="95">
        <f>SUMIF($E$7:$E$129,"211",$BD$7:$BD$129)</f>
        <v>44817066</v>
      </c>
      <c r="BE135" s="95">
        <f>SUMIF($E$7:$E$129,"211",$BE$7:$BE$129)</f>
        <v>491589620</v>
      </c>
      <c r="BF135" s="77">
        <f t="shared" ca="1" si="104"/>
        <v>0.59017043112291101</v>
      </c>
      <c r="BG135" s="26">
        <f t="shared" si="105"/>
        <v>6189428043</v>
      </c>
      <c r="BH135" s="96">
        <f>SUMIF($E$7:$E$129,"211",$BH$7:$BH$129)</f>
        <v>851998272</v>
      </c>
      <c r="BI135" s="96">
        <f>SUMIF($E$7:$E$129,"211",$BI$7:$BI$129)</f>
        <v>249198837</v>
      </c>
      <c r="BJ135" s="96">
        <f>SUMIF($E$7:$E$129,"211",$BJ$7:$BJ$129)</f>
        <v>0</v>
      </c>
      <c r="BK135" s="96">
        <f>SUMIF($E$7:$E$129,"211",$BK$7:$BK$129)</f>
        <v>2952962483</v>
      </c>
      <c r="BL135" s="96">
        <f>SUMIF($E$7:$E$129,"211",$BL$7:$BL$129)</f>
        <v>0</v>
      </c>
      <c r="BM135" s="96">
        <f>SUMIF($E$7:$E$129,"211",$BM$7:$BM$129)</f>
        <v>0</v>
      </c>
      <c r="BN135" s="96">
        <f>SUMIF($E$7:$E$129,"211",$BN$7:$BN$129)</f>
        <v>10023035</v>
      </c>
      <c r="BO135" s="96">
        <f>SUMIF($E$7:$E$129,"211",$BO$7:$BO$129)</f>
        <v>115000000</v>
      </c>
      <c r="BP135" s="96">
        <f>SUMIF($E$7:$E$129,"211",$BP$7:$BP$129)</f>
        <v>0</v>
      </c>
      <c r="BQ135" s="96">
        <f>SUMIF($E$7:$E$129,"211",$BQ$7:$BQ$129)</f>
        <v>346546789</v>
      </c>
      <c r="BR135" s="96">
        <f>SUMIF($E$7:$E$129,"211",$BR$7:$BR$129)</f>
        <v>70000000</v>
      </c>
      <c r="BS135" s="96">
        <f>SUMIF($E$7:$E$129,"211",$BS$7:$BS$129)</f>
        <v>295286250</v>
      </c>
      <c r="BT135" s="96">
        <f>SUMIF($E$7:$E$129,"211",$BT$7:$BT$129)</f>
        <v>47237313</v>
      </c>
      <c r="BU135" s="96">
        <f>SUMIF($E$7:$E$129,"211",$BU$7:$BU$129)</f>
        <v>76223671</v>
      </c>
      <c r="BV135" s="96">
        <f>SUMIF($E$7:$E$129,"211",$BV$7:$BV$129)</f>
        <v>40997954</v>
      </c>
      <c r="BW135" s="96">
        <f>SUMIF($E$7:$E$129,"211",$BW$7:$BW$129)</f>
        <v>0</v>
      </c>
      <c r="BX135" s="96">
        <f>SUMIF($E$7:$E$129,"211",$BX$7:$BX$129)</f>
        <v>0</v>
      </c>
      <c r="BY135" s="96">
        <f>SUMIF($E$7:$E$129,"211",$BY$7:$BY$129)</f>
        <v>542220033</v>
      </c>
      <c r="BZ135" s="96">
        <f>SUMIF($E$7:$E$129,"211",$BZ$7:$BZ$129)</f>
        <v>7138067</v>
      </c>
      <c r="CA135" s="96">
        <f>SUMIF($E$7:$E$129,"211",$CA$7:$CA$129)</f>
        <v>74318209</v>
      </c>
      <c r="CB135" s="96">
        <f>SUMIF($E$7:$E$129,"211",$CB$7:$CB$129)</f>
        <v>0</v>
      </c>
      <c r="CC135" s="96">
        <f>SUMIF($E$7:$E$129,"211",$CC$7:$CC$129)</f>
        <v>2137483</v>
      </c>
      <c r="CD135" s="97">
        <f>SUMIF($E$7:$E$129,"211",$CD$7:$CD$129)</f>
        <v>508139647</v>
      </c>
      <c r="CE135" s="23">
        <f t="shared" ca="1" si="106"/>
        <v>0.40982956887708893</v>
      </c>
      <c r="CF135" s="41">
        <f t="shared" si="107"/>
        <v>4298098469</v>
      </c>
      <c r="CG135" s="95">
        <f>SUMIF($E$7:$E$129,"211",$CG$7:$CG$129)</f>
        <v>11412775</v>
      </c>
      <c r="CH135" s="95">
        <f>SUMIF($E$7:$E$129,"211",$CH$7:$CH$129)</f>
        <v>542369580</v>
      </c>
      <c r="CI135" s="95">
        <f>SUMIF($E$7:$E$129,"211",$CI$7:$CI$129)</f>
        <v>0</v>
      </c>
      <c r="CJ135" s="95">
        <f>SUMIF($E$7:$E$129,"211",$CJ$7:$CJ$129)</f>
        <v>1766746262</v>
      </c>
      <c r="CK135" s="95">
        <f>SUMIF($E$7:$E$129,"211",$CK$7:$CK$129)</f>
        <v>0</v>
      </c>
      <c r="CL135" s="95">
        <f>SUMIF($E$7:$E$129,"211",$CL$7:$CL$129)</f>
        <v>0</v>
      </c>
      <c r="CM135" s="95">
        <f>SUMIF($E$7:$E$129,"211",$CM$7:$CM$129)</f>
        <v>202400000</v>
      </c>
      <c r="CN135" s="95">
        <f>SUMIF($E$7:$E$129,"211",$CN$7:$CN$129)</f>
        <v>35000000</v>
      </c>
      <c r="CO135" s="95">
        <f>SUMIF($E$7:$E$129,"211",$CO$7:$CO$129)</f>
        <v>0</v>
      </c>
      <c r="CP135" s="95">
        <f>SUMIF($E$7:$E$129,"211",$CP$7:$CP$129)</f>
        <v>0</v>
      </c>
      <c r="CQ135" s="95">
        <f>SUMIF($E$7:$E$129,"211",$CQ$7:$CQ$129)</f>
        <v>0</v>
      </c>
      <c r="CR135" s="95">
        <f>SUMIF($E$7:$E$129,"211",$CR$7:$CR$129)</f>
        <v>324980000</v>
      </c>
      <c r="CS135" s="95">
        <f>SUMIF($E$7:$E$129,"211",$CS$7:$CS$129)</f>
        <v>0</v>
      </c>
      <c r="CT135" s="95">
        <f>SUMIF($E$7:$E$129,"211",$CT$7:$CT$129)</f>
        <v>0</v>
      </c>
      <c r="CU135" s="95">
        <f>SUMIF($E$7:$E$129,"211",$CU$7:$CU$129)</f>
        <v>0</v>
      </c>
      <c r="CV135" s="95">
        <f>SUMIF($E$7:$E$129,"211",$CV$7:$CV$129)</f>
        <v>0</v>
      </c>
      <c r="CW135" s="95">
        <f>SUMIF($E$7:$E$129,"211",$CW$7:$CW$129)</f>
        <v>0</v>
      </c>
      <c r="CX135" s="95">
        <f>SUMIF($E$7:$E$129,"211",$CX$7:$CX$129)</f>
        <v>745957544</v>
      </c>
      <c r="CY135" s="95">
        <f>SUMIF($E$7:$E$129,"211",$CY$7:$CY$129)</f>
        <v>82861933</v>
      </c>
      <c r="CZ135" s="95">
        <f>SUMIF($E$7:$E$129,"211",$CZ$7:$CZ$129)</f>
        <v>49963689</v>
      </c>
      <c r="DA135" s="95">
        <f>SUMIF($E$7:$E$129,"211",$DA$7:$DA$129)</f>
        <v>0</v>
      </c>
      <c r="DB135" s="95">
        <f>SUMIF($E$7:$E$129,"211",$DB$7:$DB$129)</f>
        <v>44817066</v>
      </c>
      <c r="DC135" s="98">
        <f>SUMIF($E$7:$E$129,"211",$DC$7:$DC$129)</f>
        <v>491589620</v>
      </c>
      <c r="DD135" s="23">
        <f t="shared" ca="1" si="108"/>
        <v>0.59017043112291101</v>
      </c>
      <c r="DE135" s="26">
        <f t="shared" ca="1" si="109"/>
        <v>6189428043</v>
      </c>
      <c r="DF135" s="96">
        <f ca="1">SUMIF($E$7:$E$130,"211",$DF$7:$DF$129)</f>
        <v>851998272</v>
      </c>
      <c r="DG135" s="96">
        <f>SUMIF($E$7:$E$129,"211",$DG$7:$DG$129)</f>
        <v>249198837</v>
      </c>
      <c r="DH135" s="96">
        <f>SUMIF($E$7:$E$129,"211",$DH$7:$DH$129)</f>
        <v>0</v>
      </c>
      <c r="DI135" s="96">
        <f>SUMIF($E$7:$E$129,"211",$DI$7:$DI$129)</f>
        <v>2952962483</v>
      </c>
      <c r="DJ135" s="96">
        <f>SUMIF($E$7:$E$129,"211",$DJ$7:$DJ$129)</f>
        <v>0</v>
      </c>
      <c r="DK135" s="96">
        <f>SUMIF($E$7:$E$129,"211",$DK$7:$DK$129)</f>
        <v>0</v>
      </c>
      <c r="DL135" s="96">
        <f>SUMIF($E$7:$E$129,"211",$DL$7:$DL$129)</f>
        <v>10023035</v>
      </c>
      <c r="DM135" s="96">
        <f>SUMIF($E$7:$E$129,"211",$DM$7:$DM$129)</f>
        <v>115000000</v>
      </c>
      <c r="DN135" s="96">
        <f>SUMIF($E$7:$E$129,"211",$DN$7:$DN$129)</f>
        <v>0</v>
      </c>
      <c r="DO135" s="96">
        <f>SUMIF($E$7:$E$129,"211",$DO$7:$DO$129)</f>
        <v>346546789</v>
      </c>
      <c r="DP135" s="99">
        <f>SUMIF($E$7:$E$129,"211",$DP$7:$DP$129)</f>
        <v>70000000</v>
      </c>
      <c r="DQ135" s="99">
        <f>SUMIF($E$7:$E$129,"211",$DQ$7:$DQ$129)</f>
        <v>295286250</v>
      </c>
      <c r="DR135" s="99">
        <f>SUMIF($E$7:$E$129,"211",$DR$7:$DR$129)</f>
        <v>47237313</v>
      </c>
      <c r="DS135" s="99">
        <f>SUMIF($E$7:$E$129,"211",$DS$7:$DS$129)</f>
        <v>76223671</v>
      </c>
      <c r="DT135" s="99">
        <f>SUMIF($E$7:$E$129,"211",$DT$7:$DT$129)</f>
        <v>40997954</v>
      </c>
      <c r="DU135" s="99">
        <f>SUMIF($E$7:$E$129,"211",$DU$7:$DU$129)</f>
        <v>0</v>
      </c>
      <c r="DV135" s="99">
        <f>SUMIF($E$7:$E$129,"211",$DV$7:$DV$129)</f>
        <v>0</v>
      </c>
      <c r="DW135" s="99">
        <f>SUMIF($E$7:$E$129,"211",$DW$7:$DW$129)</f>
        <v>542220033</v>
      </c>
      <c r="DX135" s="99">
        <f>SUMIF($E$7:$E$129,"211",$DX$7:$DX$129)</f>
        <v>7138067</v>
      </c>
      <c r="DY135" s="99">
        <f>SUMIF($E$7:$E$129,"211",$DY$7:$DY$129)</f>
        <v>74318209</v>
      </c>
      <c r="DZ135" s="99">
        <f>SUMIF($E$7:$E$129,"211",$DZ$7:$DZ$129)</f>
        <v>0</v>
      </c>
      <c r="EA135" s="99">
        <f>SUMIF($E$7:$E$129,"211",$EA$7:$EA$129)</f>
        <v>2137483</v>
      </c>
      <c r="EB135" s="99">
        <f>SUMIF($E$7:$E$129,"211",$EB$7:$EB$129)</f>
        <v>508139647</v>
      </c>
      <c r="ED135" s="135" t="s">
        <v>387</v>
      </c>
      <c r="EE135" s="46">
        <f ca="1">+G134</f>
        <v>14944040739</v>
      </c>
      <c r="EF135" s="46">
        <f>+CF134</f>
        <v>8374334138</v>
      </c>
      <c r="EG135" s="139">
        <f t="shared" ref="EG135:EG141" ca="1" si="110">+CE134</f>
        <v>0.5603795040617896</v>
      </c>
    </row>
    <row r="136" spans="1:137" ht="18" customHeight="1" x14ac:dyDescent="0.3">
      <c r="C136" s="100"/>
      <c r="D136" s="91" t="s">
        <v>239</v>
      </c>
      <c r="E136" s="101">
        <v>301</v>
      </c>
      <c r="F136" s="92"/>
      <c r="G136" s="93">
        <f ca="1">SUMIF($E$7:$G$130,"301",$G$7:$J$129)</f>
        <v>4618928674</v>
      </c>
      <c r="H136" s="94">
        <f ca="1">SUMIF($E$7:$H$130,"301",$H$7:$J$129)</f>
        <v>4682573500</v>
      </c>
      <c r="I136" s="94">
        <f ca="1">SUMIF($E$7:$I$130,"301",$I$7:$J$129)</f>
        <v>63644826</v>
      </c>
      <c r="J136" s="93">
        <f>SUMIF($E$7:$E$130,"301",$J$7:$J$130)</f>
        <v>1124229659</v>
      </c>
      <c r="K136" s="93">
        <f>SUMIF($E$7:$E$130,"301",$K$7:$K$130)</f>
        <v>248478958</v>
      </c>
      <c r="L136" s="93">
        <f>SUMIF($E$7:$E$130,"301",$L$7:$L$130)</f>
        <v>24243035</v>
      </c>
      <c r="M136" s="93">
        <f>SUMIF($E$7:$E$130,"301",$M$7:$M$130)</f>
        <v>405520570</v>
      </c>
      <c r="N136" s="95">
        <f>SUMIF($E$7:$E$129,"301",$N$7:$N$129)</f>
        <v>0</v>
      </c>
      <c r="O136" s="92">
        <f>SUMIF($E$7:$E$129,"301",$O$7:$O$129)</f>
        <v>0</v>
      </c>
      <c r="P136" s="92">
        <f>SUMIF($E$7:$E$129,"301",$P$7:$P$129)</f>
        <v>0</v>
      </c>
      <c r="Q136" s="92">
        <f>SUMIF($E$7:$E$129,"301",$Q$7:$Q$129)</f>
        <v>0</v>
      </c>
      <c r="R136" s="92">
        <f>SUMIF($E$7:$E$129,"301",$R$7:$R$129)</f>
        <v>0</v>
      </c>
      <c r="S136" s="92">
        <f>SUMIF($E$7:$E$129,"301",$S$7:$S$129)</f>
        <v>0</v>
      </c>
      <c r="T136" s="92">
        <f>SUMIF($E$7:$E$129,"301",$T$7:$T$129)</f>
        <v>0</v>
      </c>
      <c r="U136" s="92">
        <f>SUMIF($E$7:$E$129,"301",$U$7:$U$129)</f>
        <v>0</v>
      </c>
      <c r="V136" s="92">
        <f>SUMIF($E$7:$E$129,"301",$V$7:$V$129)</f>
        <v>0</v>
      </c>
      <c r="W136" s="92">
        <f>SUMIF($E$7:$E$129,"301",$W$7:$W$129)</f>
        <v>0</v>
      </c>
      <c r="X136" s="92">
        <f>SUMIF($E$7:$E$129,"301",$X$7:$X$129)</f>
        <v>0</v>
      </c>
      <c r="Y136" s="92">
        <f>SUMIF($E$7:$E$129,"301",$Y$7:$Y$129)</f>
        <v>0</v>
      </c>
      <c r="Z136" s="92">
        <f>SUMIF($E$7:$E$129,"301",$Z$7:$Z$129)</f>
        <v>456521042</v>
      </c>
      <c r="AA136" s="92">
        <f>SUMIF($E$7:$E$129,"301",$AA$7:$AA$129)</f>
        <v>549500000</v>
      </c>
      <c r="AB136" s="92">
        <f>SUMIF($E$7:$E$129,"301",$AB$7:$AB$129)</f>
        <v>0</v>
      </c>
      <c r="AC136" s="92">
        <f>SUMIF($E$7:$E$129,"301",$AC$7:$AC$129)</f>
        <v>1729072560</v>
      </c>
      <c r="AD136" s="92"/>
      <c r="AE136" s="92">
        <f>SUMIF($E$7:$E$129,"301",$AE$7:$AE$129)</f>
        <v>0</v>
      </c>
      <c r="AF136" s="92">
        <f>SUMIF($E$7:$E$129,"301",$AF$7:$AF$129)</f>
        <v>81362850</v>
      </c>
      <c r="AG136" s="23">
        <f t="shared" ca="1" si="103"/>
        <v>0.46718510336537838</v>
      </c>
      <c r="AH136" s="95">
        <f>SUMIF($E$7:$E$129,"301",$AH$7:$AH$129)</f>
        <v>2157894670</v>
      </c>
      <c r="AI136" s="95">
        <f>SUMIF($E$7:$E$129,"301",$AI$7:$AI$129)</f>
        <v>341231333</v>
      </c>
      <c r="AJ136" s="95">
        <f>SUMIF($E$7:$E$129,"301",$AJ$7:$AJ$129)</f>
        <v>240679663</v>
      </c>
      <c r="AK136" s="95">
        <f>SUMIF($E$7:$E$129,"301",$AK$7:$AK$129)</f>
        <v>2000000</v>
      </c>
      <c r="AL136" s="95">
        <f>SUMIF($E$7:$E$129,"301",$AL$7:$AL$129)</f>
        <v>165734932</v>
      </c>
      <c r="AM136" s="95">
        <f>SUMIF($E$7:$E$129,"301",$AM$7:$AM$129)</f>
        <v>0</v>
      </c>
      <c r="AN136" s="95">
        <f>SUMIF($E$7:$E$129,"301",$AN$7:$AN$129)</f>
        <v>0</v>
      </c>
      <c r="AO136" s="95">
        <f>SUMIF($E$7:$E$129,"301",$AO$7:$AO$129)</f>
        <v>0</v>
      </c>
      <c r="AP136" s="95">
        <f>SUMIF($E$7:$E$129,"301",$AP$7:$AP$129)</f>
        <v>0</v>
      </c>
      <c r="AQ136" s="95">
        <f>SUMIF($E$7:$E$129,"301",$AQ$7:$AQ$129)</f>
        <v>0</v>
      </c>
      <c r="AR136" s="95">
        <f>SUMIF($E$7:$E$129,"301",$AR$7:$AR$129)</f>
        <v>0</v>
      </c>
      <c r="AS136" s="95">
        <f>SUMIF($E$7:$E$129,"301",$AS$7:$AS$129)</f>
        <v>0</v>
      </c>
      <c r="AT136" s="95">
        <f>SUMIF($E$7:$E$129,"301",$AT$7:$AT$129)</f>
        <v>0</v>
      </c>
      <c r="AU136" s="95">
        <f>SUMIF($E$7:$E$129,"301",$AU$7:$AU$129)</f>
        <v>0</v>
      </c>
      <c r="AV136" s="95">
        <f>SUMIF($E$7:$E$129,"301",$AV$7:$AV$129)</f>
        <v>0</v>
      </c>
      <c r="AW136" s="95">
        <f>SUMIF($E$7:$E$129,"301",$AW$7:$AW$129)</f>
        <v>0</v>
      </c>
      <c r="AX136" s="95">
        <f>SUMIF($E$7:$E$129,"301",$AX$7:$AX$129)</f>
        <v>0</v>
      </c>
      <c r="AY136" s="95">
        <f>SUMIF($E$7:$E$129,"301",$AY$7:$AY$129)</f>
        <v>374254611</v>
      </c>
      <c r="AZ136" s="95">
        <f>SUMIF($E$7:$E$129,"301",$AZ$7:$AZ$129)</f>
        <v>140874848</v>
      </c>
      <c r="BA136" s="95">
        <f>SUMIF($E$7:$E$129,"301",$BA$7:$BA$129)</f>
        <v>0</v>
      </c>
      <c r="BB136" s="95">
        <f>SUMIF($E$7:$E$129,"301",$BB$7:$BB$129)</f>
        <v>821205828</v>
      </c>
      <c r="BC136" s="95">
        <f>SUMIF($E$7:$E$129,"301",$BC$7:$BC$129)</f>
        <v>0</v>
      </c>
      <c r="BD136" s="95">
        <f>SUMIF($E$7:$E$129,"301",$BD$7:$BD$129)</f>
        <v>0</v>
      </c>
      <c r="BE136" s="95">
        <f>SUMIF($E$7:$E$129,"301",$BE$7:$BE$129)</f>
        <v>71913455</v>
      </c>
      <c r="BF136" s="77">
        <f t="shared" ca="1" si="104"/>
        <v>0.53281489663462156</v>
      </c>
      <c r="BG136" s="26">
        <f t="shared" si="105"/>
        <v>2461034004</v>
      </c>
      <c r="BH136" s="96">
        <f>SUMIF($E$7:$E$129,"301",$BH$7:$BH$129)</f>
        <v>782998326</v>
      </c>
      <c r="BI136" s="96">
        <f>SUMIF($E$7:$E$129,"301",$BI$7:$BI$129)</f>
        <v>7799295</v>
      </c>
      <c r="BJ136" s="96">
        <f>SUMIF($E$7:$E$129,"301",$BJ$7:$BJ$129)</f>
        <v>22243035</v>
      </c>
      <c r="BK136" s="96">
        <f>SUMIF($E$7:$E$129,"301",$BK$7:$BK$129)</f>
        <v>239785638</v>
      </c>
      <c r="BL136" s="96">
        <f>SUMIF($E$7:$E$129,"301",$BL$7:$BL$129)</f>
        <v>0</v>
      </c>
      <c r="BM136" s="96">
        <f>SUMIF($E$7:$E$129,"301",$BM$7:$BM$129)</f>
        <v>0</v>
      </c>
      <c r="BN136" s="96">
        <f>SUMIF($E$7:$E$129,"301",$BN$7:$BN$129)</f>
        <v>0</v>
      </c>
      <c r="BO136" s="96">
        <f>SUMIF($E$7:$E$129,"301",$BO$7:$BO$129)</f>
        <v>0</v>
      </c>
      <c r="BP136" s="96">
        <f>SUMIF($E$7:$E$129,"301",$BP$7:$BP$129)</f>
        <v>0</v>
      </c>
      <c r="BQ136" s="96">
        <f>SUMIF($E$7:$E$129,"301",$BQ$7:$BQ$129)</f>
        <v>0</v>
      </c>
      <c r="BR136" s="96">
        <f>SUMIF($E$7:$E$129,"301",$BR$7:$BR$129)</f>
        <v>0</v>
      </c>
      <c r="BS136" s="96">
        <f>SUMIF($E$7:$E$129,"301",$BS$7:$BS$129)</f>
        <v>0</v>
      </c>
      <c r="BT136" s="96">
        <f>SUMIF($E$7:$E$129,"301",$BT$7:$BT$129)</f>
        <v>0</v>
      </c>
      <c r="BU136" s="96">
        <f>SUMIF($E$7:$E$129,"301",$BU$7:$BU$129)</f>
        <v>0</v>
      </c>
      <c r="BV136" s="96">
        <f>SUMIF($E$7:$E$129,"301",$BV$7:$BV$129)</f>
        <v>0</v>
      </c>
      <c r="BW136" s="96">
        <f>SUMIF($E$7:$E$129,"301",$BW$7:$BW$129)</f>
        <v>0</v>
      </c>
      <c r="BX136" s="96">
        <f>SUMIF($E$7:$E$129,"301",$BX$7:$BX$129)</f>
        <v>82266431</v>
      </c>
      <c r="BY136" s="96">
        <f>SUMIF($E$7:$E$129,"301",$BY$7:$BY$129)</f>
        <v>408625152</v>
      </c>
      <c r="BZ136" s="96">
        <f>SUMIF($E$7:$E$129,"301",$BZ$7:$BZ$129)</f>
        <v>0</v>
      </c>
      <c r="CA136" s="96">
        <f>SUMIF($E$7:$E$129,"301",$CA$7:$CA$129)</f>
        <v>907866732</v>
      </c>
      <c r="CB136" s="96">
        <f>SUMIF($E$7:$E$129,"301",$CB$7:$CB$129)</f>
        <v>0</v>
      </c>
      <c r="CC136" s="96">
        <f>SUMIF($E$7:$E$129,"301",$CC$7:$CC$129)</f>
        <v>0</v>
      </c>
      <c r="CD136" s="97">
        <f>SUMIF($E$7:$E$129,"301",$CD$7:$CD$129)</f>
        <v>9449395</v>
      </c>
      <c r="CE136" s="23">
        <f t="shared" ca="1" si="106"/>
        <v>0.46718510336537838</v>
      </c>
      <c r="CF136" s="41">
        <f t="shared" si="107"/>
        <v>2157894670</v>
      </c>
      <c r="CG136" s="95">
        <f>SUMIF($E$7:$E$129,"301",$CG$7:$CG$129)</f>
        <v>341231333</v>
      </c>
      <c r="CH136" s="95">
        <f>SUMIF($E$7:$E$129,"301",$CH$7:$CH$129)</f>
        <v>240679663</v>
      </c>
      <c r="CI136" s="95">
        <f>SUMIF($E$7:$E$129,"301",$CI$7:$CI$129)</f>
        <v>2000000</v>
      </c>
      <c r="CJ136" s="95">
        <f>SUMIF($E$7:$E$129,"301",$CJ$7:$CJ$129)</f>
        <v>165734932</v>
      </c>
      <c r="CK136" s="95">
        <f>SUMIF($E$7:$E$129,"301",$CK$7:$CK$129)</f>
        <v>0</v>
      </c>
      <c r="CL136" s="95">
        <f>SUMIF($E$7:$E$129,"301",$CL$7:$CL$129)</f>
        <v>0</v>
      </c>
      <c r="CM136" s="95">
        <f>SUMIF($E$7:$E$129,"301",$CM$7:$CM$129)</f>
        <v>0</v>
      </c>
      <c r="CN136" s="95">
        <f>SUMIF($E$7:$E$129,"301",$CN$7:$CN$129)</f>
        <v>0</v>
      </c>
      <c r="CO136" s="95">
        <f>SUMIF($E$7:$E$129,"301",$CO$7:$CO$129)</f>
        <v>0</v>
      </c>
      <c r="CP136" s="95">
        <f>SUMIF($E$7:$E$129,"301",$CP$7:$CP$129)</f>
        <v>0</v>
      </c>
      <c r="CQ136" s="95">
        <f>SUMIF($E$7:$E$129,"301",$CQ$7:$CQ$129)</f>
        <v>0</v>
      </c>
      <c r="CR136" s="95">
        <f>SUMIF($E$7:$E$129,"301",$CR$7:$CR$129)</f>
        <v>0</v>
      </c>
      <c r="CS136" s="95">
        <f>SUMIF($E$7:$E$129,"301",$CS$7:$CS$129)</f>
        <v>0</v>
      </c>
      <c r="CT136" s="95">
        <f>SUMIF($E$7:$E$129,"301",$CT$7:$CT$129)</f>
        <v>0</v>
      </c>
      <c r="CU136" s="95">
        <f>SUMIF($E$7:$E$129,"301",$CU$7:$CU$129)</f>
        <v>0</v>
      </c>
      <c r="CV136" s="95">
        <f>SUMIF($E$7:$E$129,"301",$CV$7:$CV$129)</f>
        <v>0</v>
      </c>
      <c r="CW136" s="95">
        <f>SUMIF($E$7:$E$129,"301",$CW$7:$CW$129)</f>
        <v>374254611</v>
      </c>
      <c r="CX136" s="95">
        <f>SUMIF($E$7:$E$129,"301",$CX$7:$CX$129)</f>
        <v>140874848</v>
      </c>
      <c r="CY136" s="95">
        <f>SUMIF($E$7:$E$129,"301",$CY$7:$CY$129)</f>
        <v>0</v>
      </c>
      <c r="CZ136" s="95">
        <f>SUMIF($E$7:$E$129,"301",$CZ$7:$CZ$129)</f>
        <v>821205828</v>
      </c>
      <c r="DA136" s="95">
        <f>SUMIF($E$7:$E$129,"301",$DA$7:$DA$129)</f>
        <v>0</v>
      </c>
      <c r="DB136" s="95">
        <f>SUMIF($E$7:$E$129,"301",$DB$7:$DB$129)</f>
        <v>0</v>
      </c>
      <c r="DC136" s="98">
        <f>SUMIF($E$7:$E$129,"301",$DC$7:$DC$129)</f>
        <v>71913455</v>
      </c>
      <c r="DD136" s="23">
        <f t="shared" ca="1" si="108"/>
        <v>0.53281489663462156</v>
      </c>
      <c r="DE136" s="26">
        <f t="shared" ca="1" si="109"/>
        <v>2461034004</v>
      </c>
      <c r="DF136" s="96">
        <f ca="1">SUMIF($E$7:$E$130,"301",$DF$7:$DF$129)</f>
        <v>782998326</v>
      </c>
      <c r="DG136" s="96">
        <f>SUMIF($E$7:$E$129,"301",$DG$7:$DG$129)</f>
        <v>7799295</v>
      </c>
      <c r="DH136" s="96">
        <f>SUMIF($E$7:$E$129,"301",$DH$7:$DH$129)</f>
        <v>22243035</v>
      </c>
      <c r="DI136" s="96">
        <f>SUMIF($E$7:$E$129,"301",$DI$7:$DI$129)</f>
        <v>239785638</v>
      </c>
      <c r="DJ136" s="96">
        <f>SUMIF($E$7:$E$129,"301",$DJ$7:$DJ$129)</f>
        <v>0</v>
      </c>
      <c r="DK136" s="96">
        <f>SUMIF($E$7:$E$129,"301",$DK$7:$DK$129)</f>
        <v>0</v>
      </c>
      <c r="DL136" s="96">
        <f>SUMIF($E$7:$E$129,"301",$DL$7:$DL$129)</f>
        <v>0</v>
      </c>
      <c r="DM136" s="96">
        <f>SUMIF($E$7:$E$129,"301",$DM$7:$DM$129)</f>
        <v>0</v>
      </c>
      <c r="DN136" s="96">
        <f>SUMIF($E$7:$E$129,"301",$DN$7:$DN$129)</f>
        <v>0</v>
      </c>
      <c r="DO136" s="96">
        <f>SUMIF($E$7:$E$129,"301",$DO$7:$DO$129)</f>
        <v>0</v>
      </c>
      <c r="DP136" s="99">
        <f>SUMIF($E$7:$E$129,"301",$DP$7:$DP$129)</f>
        <v>0</v>
      </c>
      <c r="DQ136" s="99">
        <f>SUMIF($E$7:$E$129,"301",$DQ$7:$DQ$129)</f>
        <v>0</v>
      </c>
      <c r="DR136" s="99">
        <f>SUMIF($E$7:$E$129,"301",$DR$7:$DR$129)</f>
        <v>0</v>
      </c>
      <c r="DS136" s="99">
        <f>SUMIF($E$7:$E$129,"301",$DS$7:$DS$129)</f>
        <v>0</v>
      </c>
      <c r="DT136" s="99">
        <f>SUMIF($E$7:$E$129,"301",$DT$7:$DT$129)</f>
        <v>0</v>
      </c>
      <c r="DU136" s="99">
        <f>SUMIF($E$7:$E$129,"301",$DU$7:$DU$129)</f>
        <v>0</v>
      </c>
      <c r="DV136" s="99">
        <f>SUMIF($E$7:$E$129,"301",$DV$7:$DV$129)</f>
        <v>82266431</v>
      </c>
      <c r="DW136" s="99">
        <f>SUMIF($E$7:$E$129,"301",$DW$7:$DW$129)</f>
        <v>408625152</v>
      </c>
      <c r="DX136" s="99">
        <f>SUMIF($E$7:$E$129,"301",$DX$7:$DX$129)</f>
        <v>0</v>
      </c>
      <c r="DY136" s="99">
        <f>SUMIF($E$7:$E$129,"301",$DY$7:$DY$129)</f>
        <v>907866732</v>
      </c>
      <c r="DZ136" s="99">
        <f>SUMIF($E$7:$E$129,"301",$DZ$7:$DZ$129)</f>
        <v>0</v>
      </c>
      <c r="EA136" s="99">
        <f>SUMIF($E$7:$E$129,"301",$EA$7:$EA$129)</f>
        <v>0</v>
      </c>
      <c r="EB136" s="99">
        <f>SUMIF($E$7:$E$129,"301",$EB$7:$EB$129)</f>
        <v>9449395</v>
      </c>
      <c r="ED136" s="135" t="s">
        <v>388</v>
      </c>
      <c r="EE136" s="46">
        <f t="shared" ref="EE136:EE141" ca="1" si="111">+G135</f>
        <v>10487526512</v>
      </c>
      <c r="EF136" s="46">
        <f>+CF135</f>
        <v>4298098469</v>
      </c>
      <c r="EG136" s="139">
        <f t="shared" ca="1" si="110"/>
        <v>0.40982956887708893</v>
      </c>
    </row>
    <row r="137" spans="1:137" ht="16.5" customHeight="1" x14ac:dyDescent="0.25">
      <c r="C137" s="100"/>
      <c r="D137" s="91" t="s">
        <v>374</v>
      </c>
      <c r="E137" s="84">
        <v>310</v>
      </c>
      <c r="F137" s="92"/>
      <c r="G137" s="93">
        <f ca="1">SUMIF($E$7:$G$130,"310",$G$7:$J$129)</f>
        <v>1420900967</v>
      </c>
      <c r="H137" s="94">
        <f ca="1">SUMIF($E$7:$H$130,"310",$H$7:$J$129)</f>
        <v>2402277636</v>
      </c>
      <c r="I137" s="94">
        <f ca="1">SUMIF($E$7:$I$130,"310",$I$7:$J$129)</f>
        <v>981376669</v>
      </c>
      <c r="J137" s="93">
        <f>SUMIF($E$7:$E$129,"310",$J$7:$J$129)</f>
        <v>0</v>
      </c>
      <c r="K137" s="93">
        <f>SUMIF($E$7:$E$129,"310",$K$7:$K$129)</f>
        <v>399183902</v>
      </c>
      <c r="L137" s="93">
        <f>SUMIF($E$7:$E$130,"310",$L$7:$L$130)</f>
        <v>0</v>
      </c>
      <c r="M137" s="93">
        <f>SUMIF($E$7:$E$130,"310",$M$7:$M$130)</f>
        <v>478050814</v>
      </c>
      <c r="N137" s="95">
        <f>SUMIF($E$7:$E$129,"310",$N$7:$N$129)</f>
        <v>0</v>
      </c>
      <c r="O137" s="92">
        <f>SUMIF($E$7:$E$129,"310",$O$7:$O$129)</f>
        <v>0</v>
      </c>
      <c r="P137" s="92">
        <f>SUMIF($E$7:$E$129,"310",$P$7:$P$129)</f>
        <v>0</v>
      </c>
      <c r="Q137" s="92">
        <f>SUMIF($E$7:$E$129,"310",$Q$7:$Q$129)</f>
        <v>0</v>
      </c>
      <c r="R137" s="92">
        <f>SUMIF($E$7:$E$129,"310",$R$7:$R$129)</f>
        <v>0</v>
      </c>
      <c r="S137" s="92">
        <f>SUMIF($E$7:$E$129,"310",$S$7:$S$129)</f>
        <v>0</v>
      </c>
      <c r="T137" s="92">
        <f>SUMIF($E$7:$E$129,"310",$T$7:$T$129)</f>
        <v>0</v>
      </c>
      <c r="U137" s="92">
        <f>SUMIF($E$7:$E$129,"310",$U$7:$U$129)</f>
        <v>22935191</v>
      </c>
      <c r="V137" s="92">
        <f>SUMIF($E$7:$E$129,"310",$V$7:$V$129)</f>
        <v>0</v>
      </c>
      <c r="W137" s="92">
        <f>SUMIF($E$7:$E$129,"310",$W$7:$W$129)</f>
        <v>0</v>
      </c>
      <c r="X137" s="92">
        <f>SUMIF($E$7:$E$129,"310",$X$7:$X$129)</f>
        <v>0</v>
      </c>
      <c r="Y137" s="92">
        <f>SUMIF($E$7:$E$129,"310",$Y$7:$Y$129)</f>
        <v>0</v>
      </c>
      <c r="Z137" s="92">
        <f>SUMIF($E$7:$E$129,"310",$Z$7:$Z$129)</f>
        <v>432000000</v>
      </c>
      <c r="AA137" s="92">
        <f>SUMIF($E$7:$E$129,"310",$AA$7:$AA$129)</f>
        <v>0</v>
      </c>
      <c r="AB137" s="92">
        <f>SUMIF($E$7:$E$129,"310",$AB$7:$AB$129)</f>
        <v>0</v>
      </c>
      <c r="AC137" s="92">
        <f>SUMIF($E$7:$E$106,"310",$AC$7:$AC$106)</f>
        <v>0</v>
      </c>
      <c r="AD137" s="92"/>
      <c r="AE137" s="92">
        <f>SUMIF($E$7:$E$129,"310",$AE$7:$AE$129)</f>
        <v>0</v>
      </c>
      <c r="AF137" s="92">
        <f>SUMIF($E$7:$E$129,"310",$AF$7:$AF$129)</f>
        <v>88731060</v>
      </c>
      <c r="AG137" s="23">
        <f t="shared" ca="1" si="103"/>
        <v>0.63672269849331453</v>
      </c>
      <c r="AH137" s="95">
        <f>SUMIF($E$7:$E$129,"310",$AH$7:$AH$129)</f>
        <v>904719898</v>
      </c>
      <c r="AI137" s="95">
        <f>SUMIF($E$7:$E$129,"310",$AI$7:$AI$129)</f>
        <v>0</v>
      </c>
      <c r="AJ137" s="95">
        <f>SUMIF($E$7:$E$129,"310",$AJ$7:$AJ$129)</f>
        <v>228616494</v>
      </c>
      <c r="AK137" s="95">
        <f>SUMIF($E$7:$E$129,"310",$AK$7:$AK$129)</f>
        <v>0</v>
      </c>
      <c r="AL137" s="95">
        <f>SUMIF($E$7:$E$129,"310",$AL$7:$AL$129)</f>
        <v>447284183</v>
      </c>
      <c r="AM137" s="95">
        <f>SUMIF($E$7:$E$129,"310",$AM$7:$AM$129)</f>
        <v>0</v>
      </c>
      <c r="AN137" s="95">
        <f>SUMIF($E$7:$E$129,"310",$AN$7:$AN$129)</f>
        <v>0</v>
      </c>
      <c r="AO137" s="95">
        <f>SUMIF($E$7:$E$129,"310",$AO$7:$AO$129)</f>
        <v>0</v>
      </c>
      <c r="AP137" s="95">
        <f>SUMIF($E$7:$E$129,"310",$AP$7:$AP$129)</f>
        <v>0</v>
      </c>
      <c r="AQ137" s="95">
        <f>SUMIF($E$7:$E$129,"310",$AQ$7:$AQ$129)</f>
        <v>0</v>
      </c>
      <c r="AR137" s="95">
        <f>SUMIF($E$7:$E$129,"310",$AR$7:$AR$129)</f>
        <v>0</v>
      </c>
      <c r="AS137" s="95">
        <f>SUMIF($E$7:$E$129,"310",$AS$7:$AS$129)</f>
        <v>0</v>
      </c>
      <c r="AT137" s="95">
        <f>SUMIF($E$7:$E$129,"310",$AT$7:$AT$129)</f>
        <v>18174807</v>
      </c>
      <c r="AU137" s="95">
        <f>SUMIF($E$7:$E$129,"310",$AU$7:$AU$129)</f>
        <v>0</v>
      </c>
      <c r="AV137" s="95">
        <f>SUMIF($E$7:$E$129,"310",$AV$7:$AV$129)</f>
        <v>0</v>
      </c>
      <c r="AW137" s="95">
        <f>SUMIF($E$7:$E$129,"310",$AW$7:$AW$129)</f>
        <v>0</v>
      </c>
      <c r="AX137" s="95">
        <f>SUMIF($E$7:$E$129,"310",$AX$7:$AX$129)</f>
        <v>0</v>
      </c>
      <c r="AY137" s="95">
        <f>SUMIF($E$7:$E$129,"310",$AY$7:$AY$129)</f>
        <v>151941113</v>
      </c>
      <c r="AZ137" s="95">
        <f>SUMIF($E$7:$E$129,"310",$AZ$7:$AZ$129)</f>
        <v>0</v>
      </c>
      <c r="BA137" s="95">
        <f>SUMIF($E$7:$E$129,"310",$BA$7:$BA$129)</f>
        <v>0</v>
      </c>
      <c r="BB137" s="95">
        <f>SUMIF($E$7:$E$129,"310",$BB$7:$BB$129)</f>
        <v>0</v>
      </c>
      <c r="BC137" s="95">
        <f>SUMIF($E$7:$E$129,"310",$BC$7:$BC$129)</f>
        <v>0</v>
      </c>
      <c r="BD137" s="95">
        <f>SUMIF($E$7:$E$129,"310",$BD$7:$BD$129)</f>
        <v>0</v>
      </c>
      <c r="BE137" s="95">
        <f>SUMIF($E$7:$E$129,"310",$BE$7:$BE$129)</f>
        <v>58703301</v>
      </c>
      <c r="BF137" s="77">
        <f t="shared" ca="1" si="104"/>
        <v>0.36327730150668547</v>
      </c>
      <c r="BG137" s="26">
        <f t="shared" si="105"/>
        <v>516181069</v>
      </c>
      <c r="BH137" s="96">
        <f>SUMIF($E$7:$E$129,"310",$BH$7:$BH$129)</f>
        <v>0</v>
      </c>
      <c r="BI137" s="96">
        <f>SUMIF($E$7:$E$129,"310",$BI$7:$BI$129)</f>
        <v>170567408</v>
      </c>
      <c r="BJ137" s="96">
        <f>SUMIF($E$7:$E$129,"310",$BJ$7:$BJ$129)</f>
        <v>0</v>
      </c>
      <c r="BK137" s="96">
        <f>SUMIF($E$7:$E$129,"310",$BK$7:$BK$129)</f>
        <v>30766631</v>
      </c>
      <c r="BL137" s="96">
        <f>SUMIF($E$7:$E$129,"310",$BL$7:$BL$129)</f>
        <v>0</v>
      </c>
      <c r="BM137" s="96">
        <f>SUMIF($E$7:$E$129,"310",$BM$7:$BM$129)</f>
        <v>0</v>
      </c>
      <c r="BN137" s="96">
        <f>SUMIF($E$7:$E$129,"310",$BN$7:$BN$129)</f>
        <v>0</v>
      </c>
      <c r="BO137" s="96">
        <f>SUMIF($E$7:$E$129,"310",$BO$7:$BO$129)</f>
        <v>0</v>
      </c>
      <c r="BP137" s="96">
        <f>SUMIF($E$7:$E$129,"310",$BP$7:$BP$129)</f>
        <v>0</v>
      </c>
      <c r="BQ137" s="96">
        <f>SUMIF($E$7:$E$129,"310",$BQ$7:$BQ$129)</f>
        <v>0</v>
      </c>
      <c r="BR137" s="96">
        <f>SUMIF($E$7:$E$129,"310",$BR$7:$BR$129)</f>
        <v>0</v>
      </c>
      <c r="BS137" s="96">
        <f>SUMIF($E$7:$E$129,"310",$BS$7:$BS$129)</f>
        <v>4760384</v>
      </c>
      <c r="BT137" s="96">
        <f>SUMIF($E$7:$E$129,"310",$BT$7:$BT$129)</f>
        <v>0</v>
      </c>
      <c r="BU137" s="96">
        <f>SUMIF($E$7:$E$129,"310",$BU$7:$BU$129)</f>
        <v>0</v>
      </c>
      <c r="BV137" s="96">
        <f>SUMIF($E$7:$E$129,"310",$BV$7:$BV$129)</f>
        <v>0</v>
      </c>
      <c r="BW137" s="96">
        <f>SUMIF($E$7:$E$129,"310",$BW$7:$BW$129)</f>
        <v>0</v>
      </c>
      <c r="BX137" s="96">
        <f>SUMIF($E$7:$E$129,"310",$BX$7:$BX$129)</f>
        <v>280058887</v>
      </c>
      <c r="BY137" s="96">
        <f>SUMIF($E$7:$E$129,"310",$BY$7:$BY$129)</f>
        <v>0</v>
      </c>
      <c r="BZ137" s="96">
        <f>SUMIF($E$7:$E$129,"310",$BZ$7:$BZ$129)</f>
        <v>0</v>
      </c>
      <c r="CA137" s="96">
        <f>SUMIF($E$7:$E$129,"310",$CA$7:$CA$129)</f>
        <v>0</v>
      </c>
      <c r="CB137" s="96">
        <f>SUMIF($E$7:$E$129,"310",$CB$7:$CB$129)</f>
        <v>0</v>
      </c>
      <c r="CC137" s="96">
        <f>SUMIF($E$7:$E$129,"310",$CC$7:$CC$129)</f>
        <v>0</v>
      </c>
      <c r="CD137" s="97">
        <f>SUMIF($E$7:$E$129,"310",$CD$7:$CD$129)</f>
        <v>30027759</v>
      </c>
      <c r="CE137" s="23">
        <f t="shared" ca="1" si="106"/>
        <v>0.63672269849331453</v>
      </c>
      <c r="CF137" s="41">
        <f t="shared" si="107"/>
        <v>904719898</v>
      </c>
      <c r="CG137" s="95">
        <f>SUMIF($E$7:$E$129,"310",$CG$7:$CG$129)</f>
        <v>0</v>
      </c>
      <c r="CH137" s="95">
        <f>SUMIF($E$7:$E$129,"310",$CH$7:$CH$129)</f>
        <v>228616494</v>
      </c>
      <c r="CI137" s="95">
        <f>SUMIF($E$7:$E$129,"310",$CI$7:$CI$129)</f>
        <v>0</v>
      </c>
      <c r="CJ137" s="95">
        <f>SUMIF($E$7:$E$129,"310",$CJ$7:$CJ$129)</f>
        <v>447284183</v>
      </c>
      <c r="CK137" s="95">
        <f>SUMIF($E$7:$E$129,"310",$CK$7:$CK$129)</f>
        <v>0</v>
      </c>
      <c r="CL137" s="95">
        <f>SUMIF($E$7:$E$129,"310",$CL$7:$CL$129)</f>
        <v>0</v>
      </c>
      <c r="CM137" s="95">
        <f>SUMIF($E$7:$E$129,"310",$CM$7:$CM$129)</f>
        <v>0</v>
      </c>
      <c r="CN137" s="95">
        <f>SUMIF($E$7:$E$129,"310",$CN$7:$CN$129)</f>
        <v>0</v>
      </c>
      <c r="CO137" s="95">
        <f>SUMIF($E$7:$E$129,"310",$CO$7:$CO$129)</f>
        <v>0</v>
      </c>
      <c r="CP137" s="95">
        <f>SUMIF($E$7:$E$129,"310",$CP$7:$CP$129)</f>
        <v>0</v>
      </c>
      <c r="CQ137" s="95">
        <f>SUMIF($E$7:$E$129,"310",$CQ$7:$CQ$129)</f>
        <v>0</v>
      </c>
      <c r="CR137" s="95">
        <f>SUMIF($E$7:$E$129,"310",$CR$7:$CR$129)</f>
        <v>18174807</v>
      </c>
      <c r="CS137" s="95">
        <f>SUMIF($E$7:$E$129,"310",$CS$7:$CS$129)</f>
        <v>0</v>
      </c>
      <c r="CT137" s="95">
        <f>SUMIF($E$7:$E$129,"310",$CT$7:$CT$129)</f>
        <v>0</v>
      </c>
      <c r="CU137" s="95">
        <f>SUMIF($E$7:$E$129,"310",$CU$7:$CU$129)</f>
        <v>0</v>
      </c>
      <c r="CV137" s="95">
        <f>SUMIF($E$7:$E$129,"310",$CV$7:$CV$129)</f>
        <v>0</v>
      </c>
      <c r="CW137" s="95">
        <f>SUMIF($E$7:$E$129,"310",$CW$7:$CW$129)</f>
        <v>151941113</v>
      </c>
      <c r="CX137" s="95">
        <f>SUMIF($E$7:$E$129,"310",$CX$7:$CX$129)</f>
        <v>0</v>
      </c>
      <c r="CY137" s="95">
        <f>SUMIF($E$7:$E$129,"310",$CY$7:$CY$129)</f>
        <v>0</v>
      </c>
      <c r="CZ137" s="95">
        <f>SUMIF($E$7:$E$129,"310",$CZ$7:$CZ$129)</f>
        <v>0</v>
      </c>
      <c r="DA137" s="95">
        <f>SUMIF($E$7:$E$129,"310",$DA$7:$DA$129)</f>
        <v>0</v>
      </c>
      <c r="DB137" s="95">
        <f>SUMIF($E$7:$E$129,"310",$DB$7:$DB$129)</f>
        <v>0</v>
      </c>
      <c r="DC137" s="98">
        <f>SUMIF($E$7:$E$129,"310",$DC$7:$DC$129)</f>
        <v>58703301</v>
      </c>
      <c r="DD137" s="23">
        <f t="shared" ca="1" si="108"/>
        <v>0.36327730150668547</v>
      </c>
      <c r="DE137" s="26">
        <f t="shared" si="109"/>
        <v>516181069</v>
      </c>
      <c r="DF137" s="96">
        <f>SUMIF($E$7:$E$129,"310",$DF$7:$DF$129)</f>
        <v>0</v>
      </c>
      <c r="DG137" s="96">
        <f>SUMIF($E$7:$E$129,"310",$DG$7:$DG$129)</f>
        <v>170567408</v>
      </c>
      <c r="DH137" s="96">
        <f>SUMIF($E$7:$E$129,"310",$DH$7:$DH$129)</f>
        <v>0</v>
      </c>
      <c r="DI137" s="96">
        <f>SUMIF($E$7:$E$129,"310",$DI$7:$DI$129)</f>
        <v>30766631</v>
      </c>
      <c r="DJ137" s="96">
        <f>SUMIF($E$7:$E$129,"310",$DJ$7:$DJ$129)</f>
        <v>0</v>
      </c>
      <c r="DK137" s="96">
        <f>SUMIF($E$7:$E$129,"310",$DK$7:$DK$129)</f>
        <v>0</v>
      </c>
      <c r="DL137" s="96">
        <f>SUMIF($E$7:$E$129,"310",$DL$7:$DL$129)</f>
        <v>0</v>
      </c>
      <c r="DM137" s="96">
        <f>SUMIF($E$7:$E$129,"310",$DM$7:$DM$129)</f>
        <v>0</v>
      </c>
      <c r="DN137" s="96">
        <f>SUMIF($E$7:$E$129,"310",$DN$7:$DN$129)</f>
        <v>0</v>
      </c>
      <c r="DO137" s="96">
        <f>SUMIF($E$7:$E$129,"310",$DO$7:$DO$129)</f>
        <v>0</v>
      </c>
      <c r="DP137" s="99">
        <f>SUMIF($E$7:$E$129,"310",$DP$7:$DP$129)</f>
        <v>0</v>
      </c>
      <c r="DQ137" s="99">
        <f>SUMIF($E$7:$E$129,"310",$DQ$7:$DQ$129)</f>
        <v>4760384</v>
      </c>
      <c r="DR137" s="99">
        <f>SUMIF($E$7:$E$129,"310",$DR$7:$DR$129)</f>
        <v>0</v>
      </c>
      <c r="DS137" s="99">
        <f>SUMIF($E$7:$E$129,"310",$DS$7:$DS$129)</f>
        <v>0</v>
      </c>
      <c r="DT137" s="99">
        <f>SUMIF($E$7:$E$129,"310",$DT$7:$DT$129)</f>
        <v>0</v>
      </c>
      <c r="DU137" s="99">
        <f>SUMIF($E$7:$E$129,"310",$DU$7:$DU$129)</f>
        <v>0</v>
      </c>
      <c r="DV137" s="99">
        <f>SUMIF($E$7:$E$129,"310",$DV$7:$DV$129)</f>
        <v>280058887</v>
      </c>
      <c r="DW137" s="99">
        <f>SUMIF($E$7:$E$129,"310",$DW$7:$DW$129)</f>
        <v>0</v>
      </c>
      <c r="DX137" s="99">
        <f>SUMIF($E$7:$E$129,"310",$DX$7:$DX$129)</f>
        <v>0</v>
      </c>
      <c r="DY137" s="99">
        <f>SUMIF($E$7:$E$129,"310",$DY$7:$DY$129)</f>
        <v>0</v>
      </c>
      <c r="DZ137" s="99">
        <f>SUMIF($E$7:$E$129,"310",$DZ$7:$DZ$129)</f>
        <v>0</v>
      </c>
      <c r="EA137" s="99">
        <f>SUMIF($E$7:$E$129,"310",$EA$7:$EA$129)</f>
        <v>0</v>
      </c>
      <c r="EB137" s="99">
        <f>SUMIF($E$7:$E$129,"310",$EB$7:$EB$129)</f>
        <v>30027759</v>
      </c>
      <c r="ED137" s="135" t="s">
        <v>239</v>
      </c>
      <c r="EE137" s="46">
        <f t="shared" ca="1" si="111"/>
        <v>4618928674</v>
      </c>
      <c r="EF137" s="46">
        <f>+CF136</f>
        <v>2157894670</v>
      </c>
      <c r="EG137" s="139">
        <f t="shared" ca="1" si="110"/>
        <v>0.46718510336537838</v>
      </c>
    </row>
    <row r="138" spans="1:137" x14ac:dyDescent="0.3">
      <c r="C138" s="102"/>
      <c r="D138" s="91" t="s">
        <v>375</v>
      </c>
      <c r="E138" s="84">
        <v>410</v>
      </c>
      <c r="F138" s="92"/>
      <c r="G138" s="93">
        <f ca="1">SUMIF($E$7:$G$130,"410",$G$7:$J$129)</f>
        <v>9209707080</v>
      </c>
      <c r="H138" s="94">
        <f ca="1">SUMIF($E$7:$H$130,"410",$H$7:$J$129)</f>
        <v>7720196000</v>
      </c>
      <c r="I138" s="94">
        <f ca="1">SUMIF($E$7:$I$130,"410",$I$7:$J$129)</f>
        <v>-1489511080</v>
      </c>
      <c r="J138" s="93">
        <f>SUMIF($E$7:$E$129,"410",$J$7:$J$129)</f>
        <v>0</v>
      </c>
      <c r="K138" s="93">
        <f>SUMIF($E$7:$E$130,"410",$K$7:$K$130)</f>
        <v>477989917</v>
      </c>
      <c r="L138" s="93">
        <f>SUMIF($E$7:$E$130,"410",$L$7:$L$130)</f>
        <v>0</v>
      </c>
      <c r="M138" s="93">
        <f>SUMIF($E$7:$E$130,"410",$M$7:$M$130)</f>
        <v>0</v>
      </c>
      <c r="N138" s="95">
        <f>SUMIF($E$7:$E$129,"410",$N$7:$N$129)</f>
        <v>0</v>
      </c>
      <c r="O138" s="92">
        <f>SUMIF($E$7:$E$129,"410",$O$7:$O$129)</f>
        <v>0</v>
      </c>
      <c r="P138" s="92">
        <f>SUMIF($E$7:$E$129,"410",$P$7:$P$129)</f>
        <v>0</v>
      </c>
      <c r="Q138" s="92">
        <f>SUMIF($E$7:$E$129,"410",$Q$7:$Q$129)</f>
        <v>3406132571</v>
      </c>
      <c r="R138" s="92">
        <f>SUMIF($E$7:$E$129,"410",$R$7:$R$129)</f>
        <v>75000000</v>
      </c>
      <c r="S138" s="92">
        <f>SUMIF($E$7:$E$129,"410",$S$7:$S$129)</f>
        <v>180000000</v>
      </c>
      <c r="T138" s="92">
        <f>SUMIF($E$7:$E$129,"410",$T$7:$T$129)</f>
        <v>30000000</v>
      </c>
      <c r="U138" s="92">
        <f>SUMIF($E$7:$E$129,"410",$U$7:$U$129)</f>
        <v>58135548</v>
      </c>
      <c r="V138" s="92">
        <f>SUMIF($E$7:$E$129,"410",$V$7:$V$129)</f>
        <v>0</v>
      </c>
      <c r="W138" s="92">
        <f>SUMIF($E$7:$E$129,"410",$W$7:$W$129)</f>
        <v>0</v>
      </c>
      <c r="X138" s="92">
        <f>SUMIF($E$7:$E$129,"410",$X$7:$X$129)</f>
        <v>104834591</v>
      </c>
      <c r="Y138" s="92">
        <f>SUMIF($E$7:$E$129,"410",$Y$7:$Y$129)</f>
        <v>2860154075</v>
      </c>
      <c r="Z138" s="92">
        <f>SUMIF($E$7:$E$129,"410",$Z$7:$Z$129)</f>
        <v>0</v>
      </c>
      <c r="AA138" s="92">
        <f>SUMIF($E$7:$E$129,"410",$AA$7:$AA$129)</f>
        <v>625000000</v>
      </c>
      <c r="AB138" s="92">
        <f>SUMIF($E$7:$E$106,"410",$AB$7:$AB$106)</f>
        <v>392155169</v>
      </c>
      <c r="AC138" s="92">
        <f>SUMIF($E$7:$E$106,"410",$AC$7:$AC$106)</f>
        <v>0</v>
      </c>
      <c r="AD138" s="92">
        <f>SUMIF($E$7:$E$129,"410",$AD$7:$AD$129)</f>
        <v>475996742</v>
      </c>
      <c r="AE138" s="92">
        <f>SUMIF($E$7:$E$129,"410",$AE$7:$AE$129)</f>
        <v>0</v>
      </c>
      <c r="AF138" s="92">
        <f>SUMIF($E$7:$E$129,"410",$AF$7:$AF$129)</f>
        <v>524308467</v>
      </c>
      <c r="AG138" s="23">
        <f t="shared" ca="1" si="103"/>
        <v>0.59088263575913857</v>
      </c>
      <c r="AH138" s="95">
        <f>SUMIF($E$7:$E$129,"410",$AH$7:$AH$129)</f>
        <v>5441855994</v>
      </c>
      <c r="AI138" s="95">
        <f>SUMIF($E$7:$E$129,"410",$AI$7:$AI$129)</f>
        <v>0</v>
      </c>
      <c r="AJ138" s="95">
        <f>SUMIF($E$7:$E$129,"410",$AJ$7:$AJ$129)</f>
        <v>363975706</v>
      </c>
      <c r="AK138" s="95">
        <f>SUMIF($E$7:$E$129,"410",$AK$7:$AK$129)</f>
        <v>0</v>
      </c>
      <c r="AL138" s="95">
        <f>SUMIF($E$7:$E$129,"410",$AL$7:$AL$129)</f>
        <v>0</v>
      </c>
      <c r="AM138" s="95">
        <f>SUMIF($E$7:$E$129,"410",$AM$7:$AM$129)</f>
        <v>0</v>
      </c>
      <c r="AN138" s="95">
        <f>SUMIF($E$7:$E$129,"410",$AN$7:$AN$129)</f>
        <v>0</v>
      </c>
      <c r="AO138" s="95">
        <f>SUMIF($E$7:$E$129,"410",$AO$7:$AO$129)</f>
        <v>0</v>
      </c>
      <c r="AP138" s="95">
        <f>SUMIF($E$7:$E$129,"410",$AP$7:$AP$129)</f>
        <v>1838633546</v>
      </c>
      <c r="AQ138" s="95">
        <f>SUMIF($E$7:$E$129,"410",$AQ$7:$AQ$129)</f>
        <v>23499931</v>
      </c>
      <c r="AR138" s="95">
        <f>SUMIF($E$7:$E$129,"410",$AR$7:$AR$129)</f>
        <v>21467891</v>
      </c>
      <c r="AS138" s="95">
        <f>SUMIF($E$7:$E$129,"410",$AS$7:$AS$129)</f>
        <v>12049526</v>
      </c>
      <c r="AT138" s="95">
        <f>SUMIF($E$7:$E$129,"410",$AT$7:$AT$129)</f>
        <v>12596000</v>
      </c>
      <c r="AU138" s="95">
        <f>SUMIF($E$7:$E$129,"410",$AU$7:$AU$129)</f>
        <v>0</v>
      </c>
      <c r="AV138" s="95">
        <f>SUMIF($E$7:$E$129,"410",$AV$7:$AV$129)</f>
        <v>0</v>
      </c>
      <c r="AW138" s="95">
        <f>SUMIF($E$7:$E$129,"410",$AW$7:$AW$129)</f>
        <v>7388999</v>
      </c>
      <c r="AX138" s="95">
        <f>SUMIF($E$7:$E$129,"410",$AX$7:$AX$129)</f>
        <v>2066607734</v>
      </c>
      <c r="AY138" s="95">
        <f>SUMIF($E$7:$E$129,"410",$AY$7:$AY$129)</f>
        <v>0</v>
      </c>
      <c r="AZ138" s="95">
        <f>SUMIF($E$7:$E$129,"410",$AZ$7:$AZ$129)</f>
        <v>352349776</v>
      </c>
      <c r="BA138" s="95">
        <f>SUMIF($E$7:$E$129,"410",$BA$7:$BA$129)</f>
        <v>45669605</v>
      </c>
      <c r="BB138" s="95">
        <f>SUMIF($E$7:$E$129,"410",$BB$7:$BB$129)</f>
        <v>0</v>
      </c>
      <c r="BC138" s="95">
        <f>SUMIF($E$7:$E$129,"410",$BC$7:$BC$129)</f>
        <v>331087169</v>
      </c>
      <c r="BD138" s="95">
        <f>SUMIF($E$7:$E$129,"410",$BD$7:$BD$129)</f>
        <v>0</v>
      </c>
      <c r="BE138" s="95">
        <f>SUMIF($E$7:$E$129,"410",$BE$7:$BE$129)</f>
        <v>366530111</v>
      </c>
      <c r="BF138" s="77">
        <f t="shared" ca="1" si="104"/>
        <v>0.40911736424086143</v>
      </c>
      <c r="BG138" s="26">
        <f t="shared" si="105"/>
        <v>3767851086</v>
      </c>
      <c r="BH138" s="96">
        <f>SUMIF($E$7:$E$129,"410",$BH$7:$BH$129)</f>
        <v>0</v>
      </c>
      <c r="BI138" s="96">
        <f>SUMIF($E$7:$E$129,"410",$BI$7:$BI$129)</f>
        <v>114014211</v>
      </c>
      <c r="BJ138" s="96">
        <f>SUMIF($E$7:$E$129,"410",$BJ$7:$BJ$129)</f>
        <v>0</v>
      </c>
      <c r="BK138" s="96">
        <f>SUMIF($E$7:$E$129,"410",$BK$7:$BK$129)</f>
        <v>0</v>
      </c>
      <c r="BL138" s="96">
        <f>SUMIF($E$7:$E$129,"410",$BL$7:$BL$129)</f>
        <v>0</v>
      </c>
      <c r="BM138" s="96">
        <f>SUMIF($E$7:$E$129,"410",$BM$7:$BM$129)</f>
        <v>0</v>
      </c>
      <c r="BN138" s="96">
        <f>SUMIF($E$7:$E$129,"410",$BN$7:$BN$129)</f>
        <v>0</v>
      </c>
      <c r="BO138" s="96">
        <f>SUMIF($E$7:$E$129,"410",$BO$7:$BO$129)</f>
        <v>1567499025</v>
      </c>
      <c r="BP138" s="96">
        <f>SUMIF($E$7:$E$129,"410",$BP$7:$BP$129)</f>
        <v>51500069</v>
      </c>
      <c r="BQ138" s="96">
        <f>SUMIF($E$7:$E$129,"410",$BQ$7:$BQ$129)</f>
        <v>158532109</v>
      </c>
      <c r="BR138" s="96">
        <f>SUMIF($E$7:$E$129,"410",$BR$7:$BR$129)</f>
        <v>17950474</v>
      </c>
      <c r="BS138" s="96">
        <f>SUMIF($E$7:$E$129,"410",$BS$7:$BS$129)</f>
        <v>45539548</v>
      </c>
      <c r="BT138" s="96">
        <f>SUMIF($E$7:$E$129,"410",$BT$7:$BT$129)</f>
        <v>0</v>
      </c>
      <c r="BU138" s="96">
        <f>SUMIF($E$7:$E$129,"410",$BU$7:$BU$129)</f>
        <v>0</v>
      </c>
      <c r="BV138" s="96">
        <f>SUMIF($E$7:$E$129,"410",$BV$7:$BV$129)</f>
        <v>97445592</v>
      </c>
      <c r="BW138" s="96">
        <f>SUMIF($E$7:$E$129,"410",$BW$7:$BW$129)</f>
        <v>793546341</v>
      </c>
      <c r="BX138" s="96">
        <f>SUMIF($E$7:$E$129,"410",$BX$7:$BX$129)</f>
        <v>0</v>
      </c>
      <c r="BY138" s="96">
        <f>SUMIF($E$7:$E$129,"410",$BY$7:$BY$129)</f>
        <v>272650224</v>
      </c>
      <c r="BZ138" s="96">
        <f>SUMIF($E$7:$E$129,"410",$BZ$7:$BZ$129)</f>
        <v>346485564</v>
      </c>
      <c r="CA138" s="96">
        <f>SUMIF($E$7:$E$129,"410",$CA$7:$CA$129)</f>
        <v>0</v>
      </c>
      <c r="CB138" s="96">
        <f>SUMIF($E$7:$E$129,"410",$CB$7:$CB$129)</f>
        <v>144909573</v>
      </c>
      <c r="CC138" s="96">
        <f>SUMIF($E$7:$E$129,"410",$CC$7:$CC$129)</f>
        <v>0</v>
      </c>
      <c r="CD138" s="97">
        <f>SUMIF($E$7:$E$129,"410",$CD$7:$CD$129)</f>
        <v>157778356</v>
      </c>
      <c r="CE138" s="23">
        <f t="shared" ca="1" si="106"/>
        <v>0.59088263575913857</v>
      </c>
      <c r="CF138" s="26">
        <f t="shared" si="107"/>
        <v>5441855994</v>
      </c>
      <c r="CG138" s="95">
        <f>SUMIF($E$7:$E$129,"410",$CG$7:$CG$129)</f>
        <v>0</v>
      </c>
      <c r="CH138" s="95">
        <f>SUMIF($E$7:$E$129,"410",$CH$7:$CH$129)</f>
        <v>363975706</v>
      </c>
      <c r="CI138" s="95">
        <f>SUMIF($E$7:$E$129,"410",$CI$7:$CI$129)</f>
        <v>0</v>
      </c>
      <c r="CJ138" s="95">
        <f>SUMIF($E$7:$E$129,"410",$CJ$7:$CJ$129)</f>
        <v>0</v>
      </c>
      <c r="CK138" s="95">
        <f>SUMIF($E$7:$E$129,"410",$CK$7:$CK$129)</f>
        <v>0</v>
      </c>
      <c r="CL138" s="95">
        <f>SUMIF($E$7:$E$129,"410",$CL$7:$CL$129)</f>
        <v>0</v>
      </c>
      <c r="CM138" s="95">
        <f>SUMIF($E$7:$E$129,"410",$CM$7:$CM$129)</f>
        <v>0</v>
      </c>
      <c r="CN138" s="95">
        <f>SUMIF($E$7:$E$129,"410",$CN$7:$CN$129)</f>
        <v>1838633546</v>
      </c>
      <c r="CO138" s="95">
        <f>SUMIF($E$7:$E$129,"410",$CO$7:$CO$129)</f>
        <v>23499931</v>
      </c>
      <c r="CP138" s="95">
        <f>SUMIF($E$7:$E$129,"410",$CP$7:$CP$129)</f>
        <v>21467891</v>
      </c>
      <c r="CQ138" s="95">
        <f>SUMIF($E$7:$E$129,"410",$CQ$7:$CQ$129)</f>
        <v>12049526</v>
      </c>
      <c r="CR138" s="95">
        <f>SUMIF($E$7:$E$129,"410",$CR$7:$CR$129)</f>
        <v>12596000</v>
      </c>
      <c r="CS138" s="95">
        <f>SUMIF($E$7:$E$129,"410",$CS$7:$CS$129)</f>
        <v>0</v>
      </c>
      <c r="CT138" s="95">
        <f>SUMIF($E$7:$E$129,"410",$CT$7:$CT$129)</f>
        <v>0</v>
      </c>
      <c r="CU138" s="95">
        <f>SUMIF($E$7:$E$129,"410",$CU$7:$CU$129)</f>
        <v>7388999</v>
      </c>
      <c r="CV138" s="95">
        <f>SUMIF($E$7:$E$129,"410",$CV$7:$CV$129)</f>
        <v>2066607734</v>
      </c>
      <c r="CW138" s="95">
        <f>SUMIF($E$7:$E$129,"410",$CW$7:$CW$129)</f>
        <v>0</v>
      </c>
      <c r="CX138" s="95">
        <f>SUMIF($E$7:$E$129,"410",$CX$7:$CX$129)</f>
        <v>352349776</v>
      </c>
      <c r="CY138" s="95">
        <f>SUMIF($E$7:$E$129,"410",$CY$7:$CY$129)</f>
        <v>45669605</v>
      </c>
      <c r="CZ138" s="95">
        <f>SUMIF($E$7:$E$129,"410",$CZ$7:$CZ$129)</f>
        <v>0</v>
      </c>
      <c r="DA138" s="95">
        <f>SUMIF($E$7:$E$129,"410",$DA$7:$DA$129)</f>
        <v>331087169</v>
      </c>
      <c r="DB138" s="95">
        <f>SUMIF($E$7:$E$129,"410",$DB$7:$DB$129)</f>
        <v>0</v>
      </c>
      <c r="DC138" s="98">
        <f>SUMIF($E$7:$E$129,"410",$DC$7:$DC$129)</f>
        <v>366530111</v>
      </c>
      <c r="DD138" s="23">
        <f t="shared" ca="1" si="108"/>
        <v>0.40911736424086143</v>
      </c>
      <c r="DE138" s="26">
        <f t="shared" si="109"/>
        <v>3767851086</v>
      </c>
      <c r="DF138" s="96">
        <f>SUMIF($E$7:$E$129,"410",$DF$7:$DF$129)</f>
        <v>0</v>
      </c>
      <c r="DG138" s="96">
        <f>SUMIF($E$7:$E$129,"410",$DG$7:$DG$129)</f>
        <v>114014211</v>
      </c>
      <c r="DH138" s="96">
        <f>SUMIF($E$7:$E$129,"410",$DH$7:$DH$129)</f>
        <v>0</v>
      </c>
      <c r="DI138" s="96">
        <f>SUMIF($E$7:$E$129,"410",$DI$7:$DI$129)</f>
        <v>0</v>
      </c>
      <c r="DJ138" s="96">
        <f>SUMIF($E$7:$E$129,"410",$DJ$7:$DJ$129)</f>
        <v>0</v>
      </c>
      <c r="DK138" s="96">
        <f>SUMIF($E$7:$E$129,"410",$DK$7:$DK$129)</f>
        <v>0</v>
      </c>
      <c r="DL138" s="96">
        <f>SUMIF($E$7:$E$129,"410",$DL$7:$DL$129)</f>
        <v>0</v>
      </c>
      <c r="DM138" s="96">
        <f>SUMIF($E$7:$E$129,"410",$DM$7:$DM$129)</f>
        <v>1567499025</v>
      </c>
      <c r="DN138" s="96">
        <f>SUMIF($E$7:$E$129,"410",$DN$7:$DN$129)</f>
        <v>51500069</v>
      </c>
      <c r="DO138" s="96">
        <f>SUMIF($E$7:$E$129,"410",$DO$7:$DO$129)</f>
        <v>158532109</v>
      </c>
      <c r="DP138" s="99">
        <f>SUMIF($E$7:$E$129,"410",$DP$7:$DP$129)</f>
        <v>17950474</v>
      </c>
      <c r="DQ138" s="99">
        <f>SUMIF($E$7:$E$129,"410",$DQ$7:$DQ$129)</f>
        <v>45539548</v>
      </c>
      <c r="DR138" s="99">
        <f>SUMIF($E$7:$E$129,"410",$DR$7:$DR$129)</f>
        <v>0</v>
      </c>
      <c r="DS138" s="99">
        <f>SUMIF($E$7:$E$129,"410",$DS$7:$DS$129)</f>
        <v>0</v>
      </c>
      <c r="DT138" s="99">
        <f>SUMIF($E$7:$E$129,"410",$DT$7:$DT$129)</f>
        <v>97445592</v>
      </c>
      <c r="DU138" s="99">
        <f>SUMIF($E$7:$E$129,"410",$DU$7:$DU$129)</f>
        <v>793546341</v>
      </c>
      <c r="DV138" s="99">
        <f>SUMIF($E$7:$E$129,"410",$DV$7:$DV$129)</f>
        <v>0</v>
      </c>
      <c r="DW138" s="99">
        <f>SUMIF($E$7:$E$129,"410",$DW$7:$DW$129)</f>
        <v>272650224</v>
      </c>
      <c r="DX138" s="99">
        <f>SUMIF($E$7:$E$129,"410",$DX$7:$DX$129)</f>
        <v>346485564</v>
      </c>
      <c r="DY138" s="99">
        <f>SUMIF($E$7:$E$129,"410",$DY$7:$DY$129)</f>
        <v>0</v>
      </c>
      <c r="DZ138" s="99">
        <f>SUMIF($E$7:$E$129,"410",$DZ$7:$DZ$129)</f>
        <v>144909573</v>
      </c>
      <c r="EA138" s="99">
        <f>SUMIF($E$7:$E$129,"410",$EA$7:$EA$129)</f>
        <v>0</v>
      </c>
      <c r="EB138" s="99">
        <f>SUMIF($E$7:$E$129,"410",$EB$7:$EB$129)</f>
        <v>157778356</v>
      </c>
      <c r="ED138" s="135" t="s">
        <v>389</v>
      </c>
      <c r="EE138" s="46">
        <f t="shared" ca="1" si="111"/>
        <v>1420900967</v>
      </c>
      <c r="EF138" s="46">
        <f>+CF137</f>
        <v>904719898</v>
      </c>
      <c r="EG138" s="139">
        <f t="shared" ca="1" si="110"/>
        <v>0.63672269849331453</v>
      </c>
    </row>
    <row r="139" spans="1:137" ht="14.25" customHeight="1" x14ac:dyDescent="0.3">
      <c r="C139" s="102"/>
      <c r="D139" s="103" t="s">
        <v>376</v>
      </c>
      <c r="E139" s="84">
        <v>510</v>
      </c>
      <c r="F139" s="92"/>
      <c r="G139" s="93">
        <f ca="1">SUMIF($E$7:$G$130,"510",$G$7:$J$129)</f>
        <v>2334820216</v>
      </c>
      <c r="H139" s="94">
        <f ca="1">SUMIF($E$7:$H$130,"510",$H$7:$J$129)</f>
        <v>2219600000</v>
      </c>
      <c r="I139" s="94">
        <f ca="1">SUMIF($E$7:$I$130,"510",$I$7:$J$129)</f>
        <v>-115220216</v>
      </c>
      <c r="J139" s="93">
        <f>SUMIF($E$7:$E$129,"510",$J$7:$J$129)</f>
        <v>0</v>
      </c>
      <c r="K139" s="93">
        <f>SUMIF($E$7:$E$130,"510",$K$7:$K$130)</f>
        <v>655468218</v>
      </c>
      <c r="L139" s="93">
        <f>SUMIF($E$7:$E$130,"510",$L$7:$L$130)</f>
        <v>0</v>
      </c>
      <c r="M139" s="93">
        <f>SUMIF($E$7:$E$130,"510",$M$7:$M$130)</f>
        <v>114000000</v>
      </c>
      <c r="N139" s="95">
        <f>SUMIF($E$7:$E$129,"510",$N$7:$N$129)</f>
        <v>0</v>
      </c>
      <c r="O139" s="92">
        <f>SUMIF($E$7:$E$129,"510",$O$7:$O$129)</f>
        <v>0</v>
      </c>
      <c r="P139" s="92">
        <f>SUMIF($E$7:$E$129,"510",$P$7:$P$129)</f>
        <v>0</v>
      </c>
      <c r="Q139" s="92">
        <f>SUMIF($E$7:$E$129,"510",$Q$7:$Q$129)</f>
        <v>0</v>
      </c>
      <c r="R139" s="92">
        <f>SUMIF($E$7:$E$129,"510",$R$7:$R$129)</f>
        <v>0</v>
      </c>
      <c r="S139" s="92">
        <f>SUMIF($E$7:$E$129,"510",$S$7:$S$129)</f>
        <v>0</v>
      </c>
      <c r="T139" s="92">
        <f>SUMIF($E$7:$E$129,"510",$T$7:$T$129)</f>
        <v>0</v>
      </c>
      <c r="U139" s="92">
        <f>SUMIF($E$7:$E$129,"510",$U$7:$U$129)</f>
        <v>8336885</v>
      </c>
      <c r="V139" s="92">
        <f>SUMIF($E$7:$E$129,"510",$V$7:$V$129)</f>
        <v>0</v>
      </c>
      <c r="W139" s="92">
        <f>SUMIF($E$7:$E$129,"510",$W$7:$W$129)</f>
        <v>0</v>
      </c>
      <c r="X139" s="92">
        <f>SUMIF($E$7:$E$129,"510",$X$7:$X$129)</f>
        <v>0</v>
      </c>
      <c r="Y139" s="92">
        <f>SUMIF($E$7:$E$129,"510",$Y$7:$Y$129)</f>
        <v>0</v>
      </c>
      <c r="Z139" s="92">
        <f>SUMIF($E$7:$E$129,"510",$Z$7:$Z$129)</f>
        <v>320000000</v>
      </c>
      <c r="AA139" s="92">
        <f>SUMIF($E$7:$E$129,"510",$AA$7:$AA$129)</f>
        <v>358636130</v>
      </c>
      <c r="AB139" s="92">
        <f>SUMIF($E$7:$E$129,"510",$AB$7:$AB$129)</f>
        <v>217168075</v>
      </c>
      <c r="AC139" s="92">
        <f>SUMIF($E$7:$E$129,"510",$AC$7:$AC$129)</f>
        <v>0</v>
      </c>
      <c r="AD139" s="92"/>
      <c r="AE139" s="92">
        <f>SUMIF($E$7:$E$129,"510",$AE$7:$AE$129)</f>
        <v>422607964</v>
      </c>
      <c r="AF139" s="92">
        <f>SUMIF($E$7:$E$129,"510",$AF$7:$AF$129)</f>
        <v>238602944</v>
      </c>
      <c r="AG139" s="23">
        <f t="shared" ca="1" si="103"/>
        <v>0.651034134270148</v>
      </c>
      <c r="AH139" s="95">
        <f>SUMIF($E$7:$E$129,"510",$AH$7:$AH$129)</f>
        <v>1520047658</v>
      </c>
      <c r="AI139" s="95">
        <f>SUMIF($E$7:$E$129,"510",$AI$7:$AI$129)</f>
        <v>0</v>
      </c>
      <c r="AJ139" s="95">
        <f>SUMIF($E$7:$E$129,"510",$AJ$7:$AJ$129)</f>
        <v>579047105</v>
      </c>
      <c r="AK139" s="95">
        <f>SUMIF($E$7:$E$129,"510",$AK$7:$AK$129)</f>
        <v>0</v>
      </c>
      <c r="AL139" s="95">
        <f>SUMIF($E$7:$E$129,"510",$AL$7:$AL$129)</f>
        <v>0</v>
      </c>
      <c r="AM139" s="95">
        <f>SUMIF($E$7:$E$129,"510",$AM$7:$AM$129)</f>
        <v>0</v>
      </c>
      <c r="AN139" s="95">
        <f>SUMIF($E$7:$E$129,"510",$AN$7:$AN$129)</f>
        <v>0</v>
      </c>
      <c r="AO139" s="95">
        <f>SUMIF($E$7:$E$129,"510",$AO$7:$AO$129)</f>
        <v>0</v>
      </c>
      <c r="AP139" s="95">
        <f>SUMIF($E$7:$E$129,"510",$AP$7:$AP$129)</f>
        <v>0</v>
      </c>
      <c r="AQ139" s="95">
        <f>SUMIF($E$7:$E$129,"510",$AQ$7:$AQ$129)</f>
        <v>0</v>
      </c>
      <c r="AR139" s="95">
        <f>SUMIF($E$7:$E$129,"510",$AR$7:$AR$129)</f>
        <v>0</v>
      </c>
      <c r="AS139" s="95">
        <f>SUMIF($E$7:$E$129,"510",$AS$7:$AS$129)</f>
        <v>0</v>
      </c>
      <c r="AT139" s="95">
        <f>SUMIF($E$7:$E$129,"510",$AT$7:$AT$129)</f>
        <v>5819242</v>
      </c>
      <c r="AU139" s="95">
        <f>SUMIF($E$7:$E$129,"510",$AU$7:$AU$129)</f>
        <v>0</v>
      </c>
      <c r="AV139" s="95">
        <f>SUMIF($E$7:$E$129,"510",$AV$7:$AV$129)</f>
        <v>0</v>
      </c>
      <c r="AW139" s="95">
        <f>SUMIF($E$7:$E$129,"510",$AW$7:$AW$129)</f>
        <v>0</v>
      </c>
      <c r="AX139" s="95">
        <f>SUMIF($E$7:$E$129,"510",$AX$7:$AX$129)</f>
        <v>0</v>
      </c>
      <c r="AY139" s="95">
        <f>SUMIF($E$7:$E$129,"510",$AY$7:$AY$129)</f>
        <v>253002170</v>
      </c>
      <c r="AZ139" s="95">
        <f>SUMIF($E$7:$E$129,"510",$AZ$7:$AZ$129)</f>
        <v>306554380</v>
      </c>
      <c r="BA139" s="95">
        <f>SUMIF($E$7:$E$129,"510",$BA$7:$BA$129)</f>
        <v>194880996</v>
      </c>
      <c r="BB139" s="95">
        <f>SUMIF($E$7:$E$129,"510",$BB$7:$BB$129)</f>
        <v>0</v>
      </c>
      <c r="BC139" s="95">
        <f>SUMIF($E$7:$E$129," 510",$BC$7:$BC$129)</f>
        <v>0</v>
      </c>
      <c r="BD139" s="95">
        <f>SUMIF($E$7:$E$129,"510",$BD$7:$BD$129)</f>
        <v>0</v>
      </c>
      <c r="BE139" s="95">
        <f>SUMIF($E$7:$E$129,"510",$BE$7:$BE$129)</f>
        <v>180743765</v>
      </c>
      <c r="BF139" s="77">
        <f t="shared" ca="1" si="104"/>
        <v>0.348965865729852</v>
      </c>
      <c r="BG139" s="26">
        <f t="shared" si="105"/>
        <v>814772558</v>
      </c>
      <c r="BH139" s="96">
        <f>SUMIF($E$7:$E$129,"510",$BH$7:$BH$129)</f>
        <v>0</v>
      </c>
      <c r="BI139" s="96">
        <f>SUMIF($E$7:$E$129,"510",$BI$7:$BI$129)</f>
        <v>76421113</v>
      </c>
      <c r="BJ139" s="96">
        <f>SUMIF($E$7:$E$129,"510",$BJ$7:$BJ$129)</f>
        <v>0</v>
      </c>
      <c r="BK139" s="96">
        <f>SUMIF($E$7:$E$129,"510",$BK$7:$BK$129)</f>
        <v>114000000</v>
      </c>
      <c r="BL139" s="96">
        <f>SUMIF($E$7:$E$129,"510",$BL$7:$BL$129)</f>
        <v>0</v>
      </c>
      <c r="BM139" s="96">
        <f>SUMIF($E$7:$E$129,"510",$BM$7:$BM$129)</f>
        <v>0</v>
      </c>
      <c r="BN139" s="96">
        <f>SUMIF($E$7:$E$129,"510",$BN$7:$BN$129)</f>
        <v>0</v>
      </c>
      <c r="BO139" s="96">
        <f>SUMIF($E$7:$E$129,"510",$BO$7:$BO$129)</f>
        <v>0</v>
      </c>
      <c r="BP139" s="96">
        <f>SUMIF($E$7:$E$129,"510",$BP$7:$BP$129)</f>
        <v>0</v>
      </c>
      <c r="BQ139" s="96">
        <f>SUMIF($E$7:$E$129,"510",$BQ$7:$BQ$129)</f>
        <v>0</v>
      </c>
      <c r="BR139" s="96">
        <f>SUMIF($E$7:$E$129,"510",$BR$7:$BR$129)</f>
        <v>0</v>
      </c>
      <c r="BS139" s="96">
        <f>SUMIF($E$7:$E$129,"510",$BS$7:$BS$129)</f>
        <v>2517643</v>
      </c>
      <c r="BT139" s="96">
        <f>SUMIF($E$7:$E$129,"510",$BT$7:$BT$129)</f>
        <v>0</v>
      </c>
      <c r="BU139" s="96">
        <f>SUMIF($E$7:$E$129,"510",$BU$7:$BU$129)</f>
        <v>0</v>
      </c>
      <c r="BV139" s="96">
        <f>SUMIF($E$7:$E$129,"510",$BV$7:$BV$129)</f>
        <v>0</v>
      </c>
      <c r="BW139" s="96">
        <f>SUMIF($E$7:$E$129,"510",$BW$7:$BW$129)</f>
        <v>0</v>
      </c>
      <c r="BX139" s="96">
        <f>SUMIF($E$7:$E$129,"510",$BX$7:$BX$129)</f>
        <v>66997830</v>
      </c>
      <c r="BY139" s="96">
        <f>SUMIF($E$7:$E$129,"510",$BY$7:$BY$129)</f>
        <v>52081750</v>
      </c>
      <c r="BZ139" s="96">
        <f>SUMIF($E$7:$E$129,"510",$BZ$7:$BZ$129)</f>
        <v>22287079</v>
      </c>
      <c r="CA139" s="96">
        <f>SUMIF($E$7:$E$129,"510",$CA$7:$CA$129)</f>
        <v>0</v>
      </c>
      <c r="CB139" s="96">
        <f>SUMIF($E$7:$E$129,"510",$CB$7:$CB$129)</f>
        <v>0</v>
      </c>
      <c r="CC139" s="96">
        <f>SUMIF($E$7:$E$129,"510",$CC$7:$CC$129)</f>
        <v>422607964</v>
      </c>
      <c r="CD139" s="97">
        <f>SUMIF($E$7:$E$129,"510",$CD$7:$CD$129)</f>
        <v>57859179</v>
      </c>
      <c r="CE139" s="23">
        <f t="shared" ca="1" si="106"/>
        <v>0.651034134270148</v>
      </c>
      <c r="CF139" s="26">
        <f t="shared" si="107"/>
        <v>1520047658</v>
      </c>
      <c r="CG139" s="95">
        <f>SUMIF($E$7:$E$129,"510",$CG$7:$CG$129)</f>
        <v>0</v>
      </c>
      <c r="CH139" s="95">
        <f>SUMIF($E$7:$E$129,"510",$CH$7:$CH$129)</f>
        <v>579047105</v>
      </c>
      <c r="CI139" s="95">
        <f>SUMIF($E$7:$E$129,"510",$CI$7:$CI$129)</f>
        <v>0</v>
      </c>
      <c r="CJ139" s="95">
        <f>SUMIF($E$7:$E$129,"510",$CJ$7:$CJ$129)</f>
        <v>0</v>
      </c>
      <c r="CK139" s="95">
        <f>SUMIF($E$7:$E$129,"510",$CK$7:$CK$129)</f>
        <v>0</v>
      </c>
      <c r="CL139" s="95">
        <f>SUMIF($E$7:$E$129,"510",$CL$7:$CL$129)</f>
        <v>0</v>
      </c>
      <c r="CM139" s="95">
        <f>SUMIF($E$7:$E$129,"510",$CM$7:$CM$129)</f>
        <v>0</v>
      </c>
      <c r="CN139" s="95">
        <f>SUMIF($E$7:$E$129,"510",$CN$7:$CN$129)</f>
        <v>0</v>
      </c>
      <c r="CO139" s="95">
        <f>SUMIF($E$7:$E$129,"510",$CO$7:$CO$129)</f>
        <v>0</v>
      </c>
      <c r="CP139" s="95">
        <f>SUMIF($E$7:$E$129,"510",$CP$7:$CP$129)</f>
        <v>0</v>
      </c>
      <c r="CQ139" s="95">
        <f>SUMIF($E$7:$E$129,"510",$CQ$7:$CQ$129)</f>
        <v>0</v>
      </c>
      <c r="CR139" s="95">
        <f>SUMIF($E$7:$E$129,"510",$CR$7:$CR$129)</f>
        <v>5819242</v>
      </c>
      <c r="CS139" s="95">
        <f>SUMIF($E$7:$E$129,"510",$CS$7:$CS$129)</f>
        <v>0</v>
      </c>
      <c r="CT139" s="95">
        <f>SUMIF($E$7:$E$129,"510",$CT$7:$CT$129)</f>
        <v>0</v>
      </c>
      <c r="CU139" s="95">
        <f>SUMIF($E$7:$E$129,"510",$CU$7:$CU$129)</f>
        <v>0</v>
      </c>
      <c r="CV139" s="95">
        <f>SUMIF($E$7:$E$129,"510",$CV$7:$CV$129)</f>
        <v>0</v>
      </c>
      <c r="CW139" s="95">
        <f>SUMIF($E$7:$E$129,"510",$CW$7:$CW$129)</f>
        <v>253002170</v>
      </c>
      <c r="CX139" s="95">
        <f>SUMIF($E$7:$E$129,"510",$CX$7:$CX$129)</f>
        <v>306554380</v>
      </c>
      <c r="CY139" s="95">
        <f>SUMIF($E$7:$E$129,"510",$CY$7:$CY$129)</f>
        <v>194880996</v>
      </c>
      <c r="CZ139" s="95">
        <f>SUMIF($E$7:$E$129,"510",$CZ$7:$CZ$129)</f>
        <v>0</v>
      </c>
      <c r="DA139" s="95">
        <f>SUMIF($E$7:$E$129,"510",$DA$7:$DA$129)</f>
        <v>0</v>
      </c>
      <c r="DB139" s="95">
        <f>SUMIF($E$7:$E$129,"510",$DB$7:$DB$129)</f>
        <v>0</v>
      </c>
      <c r="DC139" s="98">
        <f>SUMIF($E$7:$E$129,"510",$DC$7:$DC$129)</f>
        <v>180743765</v>
      </c>
      <c r="DD139" s="23">
        <f t="shared" ca="1" si="108"/>
        <v>0.348965865729852</v>
      </c>
      <c r="DE139" s="26">
        <f t="shared" si="109"/>
        <v>814772558</v>
      </c>
      <c r="DF139" s="96">
        <f>SUMIF($E$7:$E$129,"510",$DF$7:$DF$129)</f>
        <v>0</v>
      </c>
      <c r="DG139" s="96">
        <f>SUMIF($E$7:$E$129,"510",$DG$7:$DG$129)</f>
        <v>76421113</v>
      </c>
      <c r="DH139" s="96">
        <f>SUMIF($E$7:$E$129,"510",$DH$7:$DH$129)</f>
        <v>0</v>
      </c>
      <c r="DI139" s="96">
        <f>SUMIF($E$7:$E$129,"510",$DI$7:$DI$129)</f>
        <v>114000000</v>
      </c>
      <c r="DJ139" s="96">
        <f>SUMIF($E$7:$E$129,"510",$DJ$7:$DJ$129)</f>
        <v>0</v>
      </c>
      <c r="DK139" s="96">
        <f>SUMIF($E$7:$E$129,"510",$DK$7:$DK$129)</f>
        <v>0</v>
      </c>
      <c r="DL139" s="96">
        <f>SUMIF($E$7:$E$129,"510",$DL$7:$DL$129)</f>
        <v>0</v>
      </c>
      <c r="DM139" s="96">
        <f>SUMIF($E$7:$E$129,"510",$DM$7:$DM$129)</f>
        <v>0</v>
      </c>
      <c r="DN139" s="96">
        <f>SUMIF($E$7:$E$129,"510",$DN$7:$DN$129)</f>
        <v>0</v>
      </c>
      <c r="DO139" s="96">
        <f>SUMIF($E$7:$E$129,"510",$DO$7:$DO$129)</f>
        <v>0</v>
      </c>
      <c r="DP139" s="99">
        <f>SUMIF($E$7:$E$129,"510",$DP$7:$DP$129)</f>
        <v>0</v>
      </c>
      <c r="DQ139" s="99">
        <f>SUMIF($E$7:$E$129,"510",$DQ$7:$DQ$129)</f>
        <v>2517643</v>
      </c>
      <c r="DR139" s="99">
        <f>SUMIF($E$7:$E$129,"510",$DR$7:$DR$129)</f>
        <v>0</v>
      </c>
      <c r="DS139" s="99">
        <f>SUMIF($E$7:$E$129,"510",$DS$7:$DS$129)</f>
        <v>0</v>
      </c>
      <c r="DT139" s="99">
        <f>SUMIF($E$7:$E$129,"510",$DT$7:$DT$129)</f>
        <v>0</v>
      </c>
      <c r="DU139" s="99">
        <f>SUMIF($E$7:$E$129,"510",$DU$7:$DU$129)</f>
        <v>0</v>
      </c>
      <c r="DV139" s="99">
        <f>SUMIF($E$7:$E$129,"510",$DV$7:$DV$129)</f>
        <v>66997830</v>
      </c>
      <c r="DW139" s="99">
        <f>SUMIF($E$7:$E$129,"510",$DW$7:$DW$129)</f>
        <v>52081750</v>
      </c>
      <c r="DX139" s="99">
        <f>SUMIF($E$7:$E$129,"510",$DX$7:$DX$129)</f>
        <v>22287079</v>
      </c>
      <c r="DY139" s="99">
        <f>SUMIF($E$7:$E$129,"510",$DY$7:$DY$129)</f>
        <v>0</v>
      </c>
      <c r="DZ139" s="99">
        <f>SUMIF($E$7:$E$129,"510",$DZ$7:$DZ$129)</f>
        <v>0</v>
      </c>
      <c r="EA139" s="99">
        <f>SUMIF($E$7:$E$129,"510",$EA$7:$EA$129)</f>
        <v>422607964</v>
      </c>
      <c r="EB139" s="99">
        <f>SUMIF($E$7:$E$129,"510",$EB$7:$EB$129)</f>
        <v>57859179</v>
      </c>
      <c r="ED139" s="135" t="s">
        <v>390</v>
      </c>
      <c r="EE139" s="46">
        <f t="shared" ca="1" si="111"/>
        <v>9209707080</v>
      </c>
      <c r="EF139" s="46">
        <f>+CF138</f>
        <v>5441855994</v>
      </c>
      <c r="EG139" s="139">
        <f t="shared" ca="1" si="110"/>
        <v>0.59088263575913857</v>
      </c>
    </row>
    <row r="140" spans="1:137" x14ac:dyDescent="0.3">
      <c r="C140" s="102"/>
      <c r="D140" s="91" t="s">
        <v>377</v>
      </c>
      <c r="E140" s="84">
        <v>520</v>
      </c>
      <c r="F140" s="92"/>
      <c r="G140" s="93">
        <f ca="1">SUMIF($E$7:$G$130,"520",$G$7:$J$129)</f>
        <v>4269690683</v>
      </c>
      <c r="H140" s="94">
        <f ca="1">SUMIF($E$7:$H$130,"520",$H$7:$J$129)</f>
        <v>6393503250</v>
      </c>
      <c r="I140" s="94">
        <f ca="1">SUMIF($E$7:$I$130,"520",$I$7:$J$129)</f>
        <v>2123812567</v>
      </c>
      <c r="J140" s="93">
        <f>SUMIF($E$7:$E$129,"520",$J$7:$J$129)</f>
        <v>0</v>
      </c>
      <c r="K140" s="93">
        <f>SUMIF($E$7:$E$129,"520",$K$7:$K$129)</f>
        <v>1085174278</v>
      </c>
      <c r="L140" s="93">
        <f>SUMIF($E$7:$E$130,"520",$L$7:$L$130)</f>
        <v>0</v>
      </c>
      <c r="M140" s="93">
        <f>SUMIF($E$7:$E$130,"520",$M$7:$M$130)</f>
        <v>0</v>
      </c>
      <c r="N140" s="95">
        <f>SUMIF($E$7:$E$129,"520",$N$7:$N$129)</f>
        <v>0</v>
      </c>
      <c r="O140" s="92">
        <f>SUMIF($E$7:$E$129,"520",$O$7:$O$129)</f>
        <v>167645552</v>
      </c>
      <c r="P140" s="92">
        <f>SUMIF($E$7:$E$129,"520",$P$7:$P$129)</f>
        <v>0</v>
      </c>
      <c r="Q140" s="92">
        <f>SUMIF($E$7:$E$129,"520",$Q$7:$Q$129)</f>
        <v>0</v>
      </c>
      <c r="R140" s="92">
        <f>SUMIF($E$7:$E$129,"520",$R$7:$R$129)</f>
        <v>0</v>
      </c>
      <c r="S140" s="92">
        <f>SUMIF($E$7:$E$129,"520",$S$7:$S$129)</f>
        <v>0</v>
      </c>
      <c r="T140" s="92">
        <f>SUMIF($E$7:$E$129,"520",$T$7:$T$129)</f>
        <v>0</v>
      </c>
      <c r="U140" s="92">
        <f>SUMIF($E$7:$E$129,"520",$U$7:$U$129)</f>
        <v>0</v>
      </c>
      <c r="V140" s="92">
        <f>SUMIF($E$7:$E$129,"520",$V$7:$V$129)</f>
        <v>0</v>
      </c>
      <c r="W140" s="92">
        <f>SUMIF($E$7:$E$129,"520",$W$7:$W$129)</f>
        <v>0</v>
      </c>
      <c r="X140" s="92">
        <f>SUMIF($E$7:$E$129,"520",$X$7:$X$129)</f>
        <v>0</v>
      </c>
      <c r="Y140" s="92">
        <f>SUMIF($E$7:$E$129,"520",$Y$7:$Y$129)</f>
        <v>1374625000</v>
      </c>
      <c r="Z140" s="92">
        <f>SUMIF($E$7:$E$129,"520",$Z$7:$Z$129)</f>
        <v>0</v>
      </c>
      <c r="AA140" s="92">
        <f>SUMIF($E$7:$E$129,"520",$AA$7:$AA$129)</f>
        <v>427766866</v>
      </c>
      <c r="AB140" s="92">
        <f>SUMIF($E$7:$E$129,"520",$AB$7:$AB$129)</f>
        <v>197412271</v>
      </c>
      <c r="AC140" s="92">
        <f>SUMIF($E$7:$E$106,"520",$AC$7:$AC$106)</f>
        <v>0</v>
      </c>
      <c r="AD140" s="92"/>
      <c r="AE140" s="92">
        <f>SUMIF($E$7:$E$129,"520",$AE$7:$AE$129)</f>
        <v>0</v>
      </c>
      <c r="AF140" s="92">
        <f>SUMIF($E$7:$E$129,"520",$AF$7:$AF$129)</f>
        <v>1017066716</v>
      </c>
      <c r="AG140" s="23">
        <f t="shared" ca="1" si="103"/>
        <v>0.82320903549162328</v>
      </c>
      <c r="AH140" s="95">
        <f>SUMIF($E$7:$E$129,"520",$AH$7:$AH$129)</f>
        <v>3514847949</v>
      </c>
      <c r="AI140" s="95">
        <f>SUMIF($E$7:$E$129,"520",$AI$7:$AI$129)</f>
        <v>0</v>
      </c>
      <c r="AJ140" s="95">
        <f>SUMIF($E$7:$E$129,"520",$AJ$7:$AJ$129)</f>
        <v>922163651</v>
      </c>
      <c r="AK140" s="95">
        <f>SUMIF($E$7:$E$129,"520",$AK$7:$AK$129)</f>
        <v>0</v>
      </c>
      <c r="AL140" s="95">
        <f>SUMIF($E$7:$E$129,"520",$AL$7:$AL$129)</f>
        <v>0</v>
      </c>
      <c r="AM140" s="95">
        <f>SUMIF($E$7:$E$129,"520",$AM$7:$AM$129)</f>
        <v>0</v>
      </c>
      <c r="AN140" s="95">
        <f>SUMIF($E$7:$E$129,"520",$AN$7:$AN$129)</f>
        <v>139547293</v>
      </c>
      <c r="AO140" s="95">
        <f>SUMIF($E$7:$E$129,"520",$AO$7:$AO$129)</f>
        <v>0</v>
      </c>
      <c r="AP140" s="95">
        <f>SUMIF($E$7:$E$129,"520",$AP$7:$AP$129)</f>
        <v>0</v>
      </c>
      <c r="AQ140" s="95">
        <f>SUMIF($E$7:$E$129,"520",$AQ$7:$AQ$129)</f>
        <v>0</v>
      </c>
      <c r="AR140" s="95">
        <f>SUMIF($E$7:$E$129,"520",$AR$7:$AR$129)</f>
        <v>0</v>
      </c>
      <c r="AS140" s="95">
        <f>SUMIF($E$7:$E$129,"520",$AS$7:$AS$129)</f>
        <v>0</v>
      </c>
      <c r="AT140" s="95">
        <f>SUMIF($E$7:$E$129,"520",$AT$7:$AT$129)</f>
        <v>0</v>
      </c>
      <c r="AU140" s="95">
        <f>SUMIF($E$7:$E$129,"520",$AU$7:$AU$129)</f>
        <v>0</v>
      </c>
      <c r="AV140" s="95">
        <f>SUMIF($E$7:$E$129,"520",$AV$7:$AV$129)</f>
        <v>0</v>
      </c>
      <c r="AW140" s="95">
        <f>SUMIF($E$7:$E$129,"520",$AW$7:$AW$129)</f>
        <v>0</v>
      </c>
      <c r="AX140" s="95">
        <f>SUMIF($E$7:$E$129,"520",$AX$7:$AX$129)</f>
        <v>1185208501</v>
      </c>
      <c r="AY140" s="95">
        <f>SUMIF($E$7:$E$129,"520",$AY$7:$AY$129)</f>
        <v>0</v>
      </c>
      <c r="AZ140" s="95">
        <f>SUMIF($E$7:$E$129,"520",$AZ$7:$AZ$129)</f>
        <v>242028893</v>
      </c>
      <c r="BA140" s="95">
        <f>SUMIF($E$7:$E$129,"520",$BA$7:$BA$129)</f>
        <v>188547760</v>
      </c>
      <c r="BB140" s="95">
        <f>SUMIF($E$7:$E$129,"520",$BB$7:$BB$129)</f>
        <v>0</v>
      </c>
      <c r="BC140" s="95">
        <f>SUMIF($E$7:$E$129,"520",$BC$7:$BC$129)</f>
        <v>0</v>
      </c>
      <c r="BD140" s="95">
        <f>SUMIF($E$7:$E$129,"520",$BD$7:$BD$129)</f>
        <v>0</v>
      </c>
      <c r="BE140" s="95">
        <f>SUMIF($E$7:$E$129,"520",$BE$7:$BE$129)</f>
        <v>837351851</v>
      </c>
      <c r="BF140" s="77">
        <f t="shared" ca="1" si="104"/>
        <v>0.17679096450837672</v>
      </c>
      <c r="BG140" s="26">
        <f t="shared" si="105"/>
        <v>754842734</v>
      </c>
      <c r="BH140" s="96">
        <f>SUMIF($E$7:$E$129,"520",$BH$7:$BH$129)</f>
        <v>0</v>
      </c>
      <c r="BI140" s="96">
        <f>SUMIF($E$7:$E$129,"520",$BI$7:$BI$129)</f>
        <v>163010627</v>
      </c>
      <c r="BJ140" s="96">
        <f>SUMIF($E$7:$E$129,"520",$BJ$7:$BJ$129)</f>
        <v>0</v>
      </c>
      <c r="BK140" s="96">
        <f>SUMIF($E$7:$E$129,"520",$BK$7:$BK$129)</f>
        <v>0</v>
      </c>
      <c r="BL140" s="96">
        <f>SUMIF($E$7:$E$129,"520",$BL$7:$BL$129)</f>
        <v>0</v>
      </c>
      <c r="BM140" s="96">
        <f>SUMIF($E$7:$E$129,"520",$BM$7:$BM$129)</f>
        <v>28098259</v>
      </c>
      <c r="BN140" s="96">
        <f>SUMIF($E$7:$E$129,"520",$BN$7:$BN$129)</f>
        <v>0</v>
      </c>
      <c r="BO140" s="96">
        <f>SUMIF($E$7:$E$129,"520",$BO$7:$BO$129)</f>
        <v>0</v>
      </c>
      <c r="BP140" s="96">
        <f>SUMIF($E$7:$E$129,"520",$BP$7:$BP$129)</f>
        <v>0</v>
      </c>
      <c r="BQ140" s="96">
        <f>SUMIF($E$7:$E$129,"520",$BQ$7:$BQ$129)</f>
        <v>0</v>
      </c>
      <c r="BR140" s="96">
        <f>SUMIF($E$7:$E$129,"520",$BR$7:$BR$129)</f>
        <v>0</v>
      </c>
      <c r="BS140" s="96">
        <f>SUMIF($E$7:$E$129,"520",$BS$7:$BS$129)</f>
        <v>0</v>
      </c>
      <c r="BT140" s="96">
        <f>SUMIF($E$7:$E$129,"520",$BT$7:$BT$129)</f>
        <v>0</v>
      </c>
      <c r="BU140" s="96">
        <f>SUMIF($E$7:$E$129,"520",$BU$7:$BU$129)</f>
        <v>0</v>
      </c>
      <c r="BV140" s="96">
        <f>SUMIF($E$7:$E$129,"520",$BV$7:$BV$129)</f>
        <v>0</v>
      </c>
      <c r="BW140" s="96">
        <f>SUMIF($E$7:$E$129,"520",$BW$7:$BW$129)</f>
        <v>189416499</v>
      </c>
      <c r="BX140" s="96">
        <f>SUMIF($E$7:$E$129,"520",$BX$7:$BX$129)</f>
        <v>0</v>
      </c>
      <c r="BY140" s="96">
        <f>SUMIF($E$7:$E$129,"520",$BY$7:$BY$129)</f>
        <v>185737973</v>
      </c>
      <c r="BZ140" s="96">
        <f>SUMIF($E$7:$E$129,"520",$BZ$7:$BZ$129)</f>
        <v>8864511</v>
      </c>
      <c r="CA140" s="96">
        <f>SUMIF($E$7:$E$129,"520",$CA$7:$CA$129)</f>
        <v>0</v>
      </c>
      <c r="CB140" s="96">
        <f>SUMIF($E$7:$E$129,"520",$CB$7:$CB$129)</f>
        <v>0</v>
      </c>
      <c r="CC140" s="96">
        <f>SUMIF($E$7:$E$129,"520",$CC$7:$CC$129)</f>
        <v>0</v>
      </c>
      <c r="CD140" s="97">
        <f>SUMIF($E$7:$E$129,"520",$CD$7:$CD$129)</f>
        <v>179714865</v>
      </c>
      <c r="CE140" s="23">
        <f t="shared" ca="1" si="106"/>
        <v>0.82320903549162328</v>
      </c>
      <c r="CF140" s="26">
        <f t="shared" si="107"/>
        <v>3514847949</v>
      </c>
      <c r="CG140" s="95">
        <f>SUMIF($E$7:$E$129,"520",$CG$7:$CG$129)</f>
        <v>0</v>
      </c>
      <c r="CH140" s="95">
        <f>SUMIF($E$7:$E$129,"520",$CH$7:$CH$129)</f>
        <v>922163651</v>
      </c>
      <c r="CI140" s="95">
        <f>SUMIF($E$7:$E$129,"520",$CI$7:$CI$129)</f>
        <v>0</v>
      </c>
      <c r="CJ140" s="95">
        <f>SUMIF($E$7:$E$129,"520",$CJ$7:$CJ$129)</f>
        <v>0</v>
      </c>
      <c r="CK140" s="95">
        <f>SUMIF($E$7:$E$129,"520",$CK$7:$CK$129)</f>
        <v>0</v>
      </c>
      <c r="CL140" s="95">
        <f>SUMIF($E$7:$E$129,"520",$CL$7:$CL$129)</f>
        <v>139547293</v>
      </c>
      <c r="CM140" s="95">
        <f>SUMIF($E$7:$E$129,"520",$CM$7:$CM$129)</f>
        <v>0</v>
      </c>
      <c r="CN140" s="95">
        <f>SUMIF($E$7:$E$129,"520",$CN$7:$CN$129)</f>
        <v>0</v>
      </c>
      <c r="CO140" s="95">
        <f>SUMIF($E$7:$E$129,"520",$CO$7:$CO$129)</f>
        <v>0</v>
      </c>
      <c r="CP140" s="95">
        <f>SUMIF($E$7:$E$129,"520",$CP$7:$CP$129)</f>
        <v>0</v>
      </c>
      <c r="CQ140" s="95">
        <f>SUMIF($E$7:$E$129,"520",$CQ$7:$CQ$129)</f>
        <v>0</v>
      </c>
      <c r="CR140" s="95">
        <f>SUMIF($E$7:$E$129,"520",$CR$7:$CR$129)</f>
        <v>0</v>
      </c>
      <c r="CS140" s="95">
        <f>SUMIF($E$7:$E$129,"520",$CS$7:$CS$129)</f>
        <v>0</v>
      </c>
      <c r="CT140" s="95">
        <f>SUMIF($E$7:$E$129,"520",$CT$7:$CT$129)</f>
        <v>0</v>
      </c>
      <c r="CU140" s="95">
        <f>SUMIF($E$7:$E$129,"520",$CU$7:$CU$129)</f>
        <v>0</v>
      </c>
      <c r="CV140" s="95">
        <f>SUMIF($E$7:$E$129,"520",$CV$7:$CV$129)</f>
        <v>1185208501</v>
      </c>
      <c r="CW140" s="95">
        <f>SUMIF($E$7:$E$129,"520",$CW$7:$CW$129)</f>
        <v>0</v>
      </c>
      <c r="CX140" s="95">
        <f>SUMIF($E$7:$E$129,"520",$CX$7:$CX$129)</f>
        <v>242028893</v>
      </c>
      <c r="CY140" s="95">
        <f>SUMIF($E$7:$E$129,"520",$CY$7:$CY$129)</f>
        <v>188547760</v>
      </c>
      <c r="CZ140" s="95">
        <f>SUMIF($E$7:$E$129,"520",$CZ$7:$CZ$129)</f>
        <v>0</v>
      </c>
      <c r="DA140" s="95">
        <f>SUMIF($E$7:$E$129,"520",$DA$7:$DA$129)</f>
        <v>0</v>
      </c>
      <c r="DB140" s="95">
        <f>SUMIF($E$7:$E$129,"520",$DB$7:$DB$129)</f>
        <v>0</v>
      </c>
      <c r="DC140" s="98">
        <f>SUMIF($E$7:$E$129,"520",$DC$7:$DC$129)</f>
        <v>837351851</v>
      </c>
      <c r="DD140" s="23">
        <f t="shared" ca="1" si="108"/>
        <v>0.17679096450837672</v>
      </c>
      <c r="DE140" s="26">
        <f t="shared" si="109"/>
        <v>754842734</v>
      </c>
      <c r="DF140" s="96">
        <f>SUMIF($E$7:$E$129,"520",$DF$7:$DF$129)</f>
        <v>0</v>
      </c>
      <c r="DG140" s="96">
        <f>SUMIF($E$7:$E$129,"520",$DG$7:$DG$129)</f>
        <v>163010627</v>
      </c>
      <c r="DH140" s="96">
        <f>SUMIF($E$7:$E$129,"520",$DH$7:$DH$129)</f>
        <v>0</v>
      </c>
      <c r="DI140" s="96">
        <f>SUMIF($E$7:$E$129,"520",$DI$7:$DI$129)</f>
        <v>0</v>
      </c>
      <c r="DJ140" s="96">
        <f>SUMIF($E$7:$E$129,"520",$DJ$7:$DJ$129)</f>
        <v>0</v>
      </c>
      <c r="DK140" s="96">
        <f>SUMIF($E$7:$E$129,"520",$DK$7:$DK$129)</f>
        <v>28098259</v>
      </c>
      <c r="DL140" s="96">
        <f>SUMIF($E$7:$E$129,"520",$DL$7:$DL$129)</f>
        <v>0</v>
      </c>
      <c r="DM140" s="96">
        <f>SUMIF($E$7:$E$129,"520",$DM$7:$DM$129)</f>
        <v>0</v>
      </c>
      <c r="DN140" s="96">
        <f>SUMIF($E$7:$E$129,"520",$DN$7:$DN$129)</f>
        <v>0</v>
      </c>
      <c r="DO140" s="96">
        <f>SUMIF($E$7:$E$129,"520",$DO$7:$DO$129)</f>
        <v>0</v>
      </c>
      <c r="DP140" s="99">
        <f>SUMIF($E$7:$E$129,"520",$DP$7:$DP$129)</f>
        <v>0</v>
      </c>
      <c r="DQ140" s="99">
        <f>SUMIF($E$7:$E$129,"520",$DQ$7:$DQ$129)</f>
        <v>0</v>
      </c>
      <c r="DR140" s="99">
        <f>SUMIF($E$7:$E$129,"520",$DR$7:$DR$129)</f>
        <v>0</v>
      </c>
      <c r="DS140" s="99">
        <f>SUMIF($E$7:$E$129,"520",$DS$7:$DS$129)</f>
        <v>0</v>
      </c>
      <c r="DT140" s="99">
        <f>SUMIF($E$7:$E$129,"520",$DT$7:$DT$129)</f>
        <v>0</v>
      </c>
      <c r="DU140" s="99">
        <f>SUMIF($E$7:$E$129,"520",$DU$7:$DU$129)</f>
        <v>189416499</v>
      </c>
      <c r="DV140" s="99">
        <f>SUMIF($E$7:$E$129,"520",$DV$7:$DV$129)</f>
        <v>0</v>
      </c>
      <c r="DW140" s="99">
        <f>SUMIF($E$7:$E$129,"520",$DW$7:$DW$129)</f>
        <v>185737973</v>
      </c>
      <c r="DX140" s="99">
        <f>SUMIF($E$7:$E$129,"520",$DX$7:$DX$129)</f>
        <v>8864511</v>
      </c>
      <c r="DY140" s="99">
        <f>SUMIF($E$7:$E$129,"520",$DY$7:$DY$129)</f>
        <v>0</v>
      </c>
      <c r="DZ140" s="99">
        <f>SUMIF($E$7:$E$129,"520",$DZ$7:$DZ$129)</f>
        <v>0</v>
      </c>
      <c r="EA140" s="99">
        <f>SUMIF($E$7:$E$129,"520",$EA$7:$EA$129)</f>
        <v>0</v>
      </c>
      <c r="EB140" s="99">
        <f>SUMIF($E$7:$E$129,"520",$EB$7:$EB$129)</f>
        <v>179714865</v>
      </c>
      <c r="ED140" s="135" t="s">
        <v>391</v>
      </c>
      <c r="EE140" s="46">
        <f t="shared" ca="1" si="111"/>
        <v>2334820216</v>
      </c>
      <c r="EF140" s="46">
        <f t="shared" ref="EF140:EF141" si="112">+CF139</f>
        <v>1520047658</v>
      </c>
      <c r="EG140" s="139">
        <f t="shared" ca="1" si="110"/>
        <v>0.651034134270148</v>
      </c>
    </row>
    <row r="141" spans="1:137" ht="15" thickBot="1" x14ac:dyDescent="0.35">
      <c r="C141" s="162" t="s">
        <v>378</v>
      </c>
      <c r="D141" s="163"/>
      <c r="E141" s="104"/>
      <c r="F141" s="105"/>
      <c r="G141" s="106">
        <f ca="1">SUM(G134:G140)</f>
        <v>47285614871</v>
      </c>
      <c r="H141" s="107">
        <f t="shared" ref="H141:AF141" ca="1" si="113">SUM(H134:H140)</f>
        <v>37326786386</v>
      </c>
      <c r="I141" s="107">
        <f t="shared" ca="1" si="113"/>
        <v>-9958828485</v>
      </c>
      <c r="J141" s="106">
        <f t="shared" si="113"/>
        <v>2422439838</v>
      </c>
      <c r="K141" s="106">
        <f t="shared" si="113"/>
        <v>3721535284</v>
      </c>
      <c r="L141" s="106">
        <f t="shared" si="113"/>
        <v>24243035</v>
      </c>
      <c r="M141" s="106">
        <f t="shared" si="113"/>
        <v>9772000888</v>
      </c>
      <c r="N141" s="106">
        <f t="shared" si="113"/>
        <v>6856843769</v>
      </c>
      <c r="O141" s="106">
        <f t="shared" si="113"/>
        <v>167645552</v>
      </c>
      <c r="P141" s="106">
        <f t="shared" si="113"/>
        <v>212423035</v>
      </c>
      <c r="Q141" s="106">
        <f t="shared" si="113"/>
        <v>4066423197</v>
      </c>
      <c r="R141" s="106">
        <f t="shared" si="113"/>
        <v>668465994</v>
      </c>
      <c r="S141" s="106">
        <f t="shared" si="113"/>
        <v>626546789</v>
      </c>
      <c r="T141" s="106">
        <f>SUM(T134:T140)</f>
        <v>764044263</v>
      </c>
      <c r="U141" s="108">
        <f t="shared" si="113"/>
        <v>709673874</v>
      </c>
      <c r="V141" s="108">
        <f t="shared" si="113"/>
        <v>201867582</v>
      </c>
      <c r="W141" s="106">
        <f t="shared" si="113"/>
        <v>690751605</v>
      </c>
      <c r="X141" s="108">
        <f t="shared" si="113"/>
        <v>436609040</v>
      </c>
      <c r="Y141" s="106">
        <f t="shared" si="113"/>
        <v>4234779075</v>
      </c>
      <c r="Z141" s="106">
        <f t="shared" si="113"/>
        <v>1208521042</v>
      </c>
      <c r="AA141" s="106">
        <f t="shared" si="113"/>
        <v>3653080573</v>
      </c>
      <c r="AB141" s="106">
        <f t="shared" si="113"/>
        <v>896735515</v>
      </c>
      <c r="AC141" s="106">
        <f t="shared" si="113"/>
        <v>1853354458</v>
      </c>
      <c r="AD141" s="106">
        <f t="shared" si="113"/>
        <v>475996742</v>
      </c>
      <c r="AE141" s="106">
        <f t="shared" si="113"/>
        <v>547409151</v>
      </c>
      <c r="AF141" s="106">
        <f t="shared" si="113"/>
        <v>3074224570</v>
      </c>
      <c r="AG141" s="109">
        <f t="shared" ca="1" si="103"/>
        <v>0.55432923622772956</v>
      </c>
      <c r="AH141" s="110">
        <f t="shared" ref="AH141:BE141" si="114">SUM(AH134:AH140)</f>
        <v>26211798776</v>
      </c>
      <c r="AI141" s="110">
        <f t="shared" si="114"/>
        <v>787443240</v>
      </c>
      <c r="AJ141" s="110">
        <f t="shared" si="114"/>
        <v>2876852199</v>
      </c>
      <c r="AK141" s="110">
        <f t="shared" si="114"/>
        <v>2000000</v>
      </c>
      <c r="AL141" s="110">
        <f t="shared" si="114"/>
        <v>2857403482</v>
      </c>
      <c r="AM141" s="110">
        <f t="shared" si="114"/>
        <v>6855066956</v>
      </c>
      <c r="AN141" s="110">
        <f t="shared" si="114"/>
        <v>139547293</v>
      </c>
      <c r="AO141" s="110">
        <f t="shared" si="114"/>
        <v>202400000</v>
      </c>
      <c r="AP141" s="110">
        <f t="shared" si="114"/>
        <v>2383924172</v>
      </c>
      <c r="AQ141" s="110">
        <f t="shared" si="114"/>
        <v>23499931</v>
      </c>
      <c r="AR141" s="110">
        <f t="shared" si="114"/>
        <v>21467891</v>
      </c>
      <c r="AS141" s="110">
        <f t="shared" si="114"/>
        <v>12049526</v>
      </c>
      <c r="AT141" s="110">
        <f t="shared" si="114"/>
        <v>361570049</v>
      </c>
      <c r="AU141" s="110">
        <f t="shared" si="114"/>
        <v>0</v>
      </c>
      <c r="AV141" s="110">
        <f t="shared" si="114"/>
        <v>42007000</v>
      </c>
      <c r="AW141" s="110">
        <f t="shared" si="114"/>
        <v>7388999</v>
      </c>
      <c r="AX141" s="110">
        <f t="shared" si="114"/>
        <v>3251816235</v>
      </c>
      <c r="AY141" s="110">
        <f t="shared" si="114"/>
        <v>779197894</v>
      </c>
      <c r="AZ141" s="110">
        <f t="shared" si="114"/>
        <v>1800786890</v>
      </c>
      <c r="BA141" s="110">
        <f t="shared" si="114"/>
        <v>511960294</v>
      </c>
      <c r="BB141" s="110">
        <f t="shared" si="114"/>
        <v>871169517</v>
      </c>
      <c r="BC141" s="110">
        <f t="shared" si="114"/>
        <v>331087169</v>
      </c>
      <c r="BD141" s="110">
        <f t="shared" si="114"/>
        <v>44817066</v>
      </c>
      <c r="BE141" s="110">
        <f t="shared" si="114"/>
        <v>2048342973</v>
      </c>
      <c r="BF141" s="111">
        <f t="shared" ca="1" si="104"/>
        <v>0.44567076377227044</v>
      </c>
      <c r="BG141" s="110">
        <f t="shared" ref="BG141:CD141" si="115">SUM(BG134:BG140)</f>
        <v>21073816095</v>
      </c>
      <c r="BH141" s="110">
        <f t="shared" si="115"/>
        <v>1634996598</v>
      </c>
      <c r="BI141" s="110">
        <f t="shared" si="115"/>
        <v>844683085</v>
      </c>
      <c r="BJ141" s="110">
        <f t="shared" si="115"/>
        <v>22243035</v>
      </c>
      <c r="BK141" s="110">
        <f t="shared" si="115"/>
        <v>6914597406</v>
      </c>
      <c r="BL141" s="110">
        <f t="shared" si="115"/>
        <v>1776813</v>
      </c>
      <c r="BM141" s="110">
        <f t="shared" si="115"/>
        <v>28098259</v>
      </c>
      <c r="BN141" s="110">
        <f t="shared" si="115"/>
        <v>10023035</v>
      </c>
      <c r="BO141" s="110">
        <f t="shared" si="115"/>
        <v>1682499025</v>
      </c>
      <c r="BP141" s="110">
        <f t="shared" si="115"/>
        <v>644966063</v>
      </c>
      <c r="BQ141" s="110">
        <f t="shared" si="115"/>
        <v>605078898</v>
      </c>
      <c r="BR141" s="110">
        <f t="shared" si="115"/>
        <v>751994737</v>
      </c>
      <c r="BS141" s="110">
        <f t="shared" si="115"/>
        <v>348103825</v>
      </c>
      <c r="BT141" s="110">
        <f t="shared" si="115"/>
        <v>201867582</v>
      </c>
      <c r="BU141" s="110">
        <f t="shared" si="115"/>
        <v>648744605</v>
      </c>
      <c r="BV141" s="110">
        <f t="shared" si="115"/>
        <v>429220041</v>
      </c>
      <c r="BW141" s="110">
        <f t="shared" si="115"/>
        <v>982962840</v>
      </c>
      <c r="BX141" s="110">
        <f t="shared" si="115"/>
        <v>429323148</v>
      </c>
      <c r="BY141" s="110">
        <f t="shared" si="115"/>
        <v>1852293683</v>
      </c>
      <c r="BZ141" s="110">
        <f t="shared" si="115"/>
        <v>384775221</v>
      </c>
      <c r="CA141" s="110">
        <f t="shared" si="115"/>
        <v>982184941</v>
      </c>
      <c r="CB141" s="110">
        <f t="shared" si="115"/>
        <v>144909573</v>
      </c>
      <c r="CC141" s="110">
        <f t="shared" si="115"/>
        <v>502592085</v>
      </c>
      <c r="CD141" s="110">
        <f t="shared" si="115"/>
        <v>1025881597</v>
      </c>
      <c r="CE141" s="109">
        <f t="shared" ca="1" si="106"/>
        <v>0.55432923622772956</v>
      </c>
      <c r="CF141" s="112">
        <f t="shared" ref="CF141:DC141" si="116">SUM(CF134:CF140)</f>
        <v>26211798776</v>
      </c>
      <c r="CG141" s="112">
        <f t="shared" si="116"/>
        <v>787443240</v>
      </c>
      <c r="CH141" s="112">
        <f t="shared" si="116"/>
        <v>2876852199</v>
      </c>
      <c r="CI141" s="112">
        <f t="shared" si="116"/>
        <v>2000000</v>
      </c>
      <c r="CJ141" s="112">
        <f t="shared" si="116"/>
        <v>2857403482</v>
      </c>
      <c r="CK141" s="112">
        <f t="shared" si="116"/>
        <v>6855066956</v>
      </c>
      <c r="CL141" s="112">
        <f t="shared" si="116"/>
        <v>139547293</v>
      </c>
      <c r="CM141" s="112">
        <f t="shared" si="116"/>
        <v>202400000</v>
      </c>
      <c r="CN141" s="112">
        <f t="shared" si="116"/>
        <v>2383924172</v>
      </c>
      <c r="CO141" s="112">
        <f t="shared" si="116"/>
        <v>23499931</v>
      </c>
      <c r="CP141" s="112">
        <f t="shared" si="116"/>
        <v>21467891</v>
      </c>
      <c r="CQ141" s="112">
        <f t="shared" si="116"/>
        <v>12049526</v>
      </c>
      <c r="CR141" s="112">
        <f t="shared" si="116"/>
        <v>361570049</v>
      </c>
      <c r="CS141" s="112">
        <f t="shared" si="116"/>
        <v>0</v>
      </c>
      <c r="CT141" s="112">
        <f t="shared" si="116"/>
        <v>42007000</v>
      </c>
      <c r="CU141" s="112">
        <f t="shared" si="116"/>
        <v>7388999</v>
      </c>
      <c r="CV141" s="112">
        <f t="shared" si="116"/>
        <v>3251816235</v>
      </c>
      <c r="CW141" s="112">
        <f t="shared" si="116"/>
        <v>779197894</v>
      </c>
      <c r="CX141" s="112">
        <f t="shared" si="116"/>
        <v>1800786890</v>
      </c>
      <c r="CY141" s="112">
        <f t="shared" si="116"/>
        <v>511960294</v>
      </c>
      <c r="CZ141" s="112">
        <f t="shared" si="116"/>
        <v>871169517</v>
      </c>
      <c r="DA141" s="112">
        <f t="shared" si="116"/>
        <v>331087169</v>
      </c>
      <c r="DB141" s="112">
        <f t="shared" si="116"/>
        <v>44817066</v>
      </c>
      <c r="DC141" s="112">
        <f t="shared" si="116"/>
        <v>2048342973</v>
      </c>
      <c r="DD141" s="109">
        <f t="shared" ca="1" si="108"/>
        <v>0.44567076377227044</v>
      </c>
      <c r="DE141" s="106">
        <f t="shared" ref="DE141:EB141" ca="1" si="117">SUM(DE134:DE140)</f>
        <v>21073816095</v>
      </c>
      <c r="DF141" s="106">
        <f t="shared" ca="1" si="117"/>
        <v>1634996598</v>
      </c>
      <c r="DG141" s="106">
        <f t="shared" si="117"/>
        <v>844683085</v>
      </c>
      <c r="DH141" s="106">
        <f t="shared" si="117"/>
        <v>22243035</v>
      </c>
      <c r="DI141" s="106">
        <f t="shared" si="117"/>
        <v>6914597406</v>
      </c>
      <c r="DJ141" s="106">
        <f t="shared" si="117"/>
        <v>1776813</v>
      </c>
      <c r="DK141" s="106">
        <f t="shared" si="117"/>
        <v>28098259</v>
      </c>
      <c r="DL141" s="106">
        <f t="shared" si="117"/>
        <v>10023035</v>
      </c>
      <c r="DM141" s="106">
        <f t="shared" si="117"/>
        <v>1682499025</v>
      </c>
      <c r="DN141" s="106">
        <f t="shared" si="117"/>
        <v>644966063</v>
      </c>
      <c r="DO141" s="106">
        <f t="shared" si="117"/>
        <v>605078898</v>
      </c>
      <c r="DP141" s="106">
        <f t="shared" si="117"/>
        <v>751994737</v>
      </c>
      <c r="DQ141" s="106">
        <f t="shared" si="117"/>
        <v>348103825</v>
      </c>
      <c r="DR141" s="106">
        <f t="shared" si="117"/>
        <v>201867582</v>
      </c>
      <c r="DS141" s="106">
        <f t="shared" si="117"/>
        <v>648744605</v>
      </c>
      <c r="DT141" s="106">
        <f t="shared" si="117"/>
        <v>429220041</v>
      </c>
      <c r="DU141" s="106">
        <f t="shared" si="117"/>
        <v>982962840</v>
      </c>
      <c r="DV141" s="106">
        <f t="shared" si="117"/>
        <v>429323148</v>
      </c>
      <c r="DW141" s="106">
        <f t="shared" si="117"/>
        <v>1852293683</v>
      </c>
      <c r="DX141" s="106">
        <f t="shared" si="117"/>
        <v>384775221</v>
      </c>
      <c r="DY141" s="106">
        <f t="shared" si="117"/>
        <v>982184941</v>
      </c>
      <c r="DZ141" s="106">
        <f t="shared" si="117"/>
        <v>144909573</v>
      </c>
      <c r="EA141" s="106">
        <f t="shared" si="117"/>
        <v>502592085</v>
      </c>
      <c r="EB141" s="106">
        <f t="shared" si="117"/>
        <v>1025881597</v>
      </c>
      <c r="ED141" s="135" t="s">
        <v>392</v>
      </c>
      <c r="EE141" s="46">
        <f t="shared" ca="1" si="111"/>
        <v>4269690683</v>
      </c>
      <c r="EF141" s="46">
        <f t="shared" si="112"/>
        <v>3514847949</v>
      </c>
      <c r="EG141" s="139">
        <f t="shared" ca="1" si="110"/>
        <v>0.82320903549162328</v>
      </c>
    </row>
    <row r="142" spans="1:137" ht="15.75" thickTop="1" x14ac:dyDescent="0.25">
      <c r="G142" s="46"/>
      <c r="H142" s="46">
        <f t="shared" ref="H142:V142" ca="1" si="118">H132-H141</f>
        <v>0</v>
      </c>
      <c r="I142" s="46">
        <f t="shared" ca="1" si="118"/>
        <v>0</v>
      </c>
      <c r="J142" s="46">
        <f t="shared" si="118"/>
        <v>0</v>
      </c>
      <c r="K142" s="46">
        <f t="shared" si="118"/>
        <v>0</v>
      </c>
      <c r="L142" s="46">
        <f t="shared" si="118"/>
        <v>0</v>
      </c>
      <c r="M142" s="46">
        <f t="shared" si="118"/>
        <v>0</v>
      </c>
      <c r="N142" s="46">
        <f t="shared" si="118"/>
        <v>0</v>
      </c>
      <c r="O142" s="46">
        <f t="shared" si="118"/>
        <v>0</v>
      </c>
      <c r="P142" s="46">
        <f t="shared" si="118"/>
        <v>0</v>
      </c>
      <c r="Q142" s="46">
        <f t="shared" si="118"/>
        <v>0</v>
      </c>
      <c r="R142" s="46">
        <f t="shared" si="118"/>
        <v>0</v>
      </c>
      <c r="S142" s="46">
        <f t="shared" si="118"/>
        <v>0</v>
      </c>
      <c r="T142" s="46">
        <f t="shared" si="118"/>
        <v>0</v>
      </c>
      <c r="U142" s="46">
        <f t="shared" si="118"/>
        <v>0</v>
      </c>
      <c r="V142" s="46">
        <f t="shared" si="118"/>
        <v>0</v>
      </c>
      <c r="W142" s="46">
        <f>W132-W141</f>
        <v>0</v>
      </c>
      <c r="X142" s="46">
        <f t="shared" ref="X142:AF142" si="119">X132-X141</f>
        <v>0</v>
      </c>
      <c r="Y142" s="46">
        <f t="shared" si="119"/>
        <v>0</v>
      </c>
      <c r="Z142" s="46">
        <f t="shared" si="119"/>
        <v>0</v>
      </c>
      <c r="AA142" s="46">
        <f t="shared" si="119"/>
        <v>0</v>
      </c>
      <c r="AB142" s="46">
        <f t="shared" si="119"/>
        <v>0</v>
      </c>
      <c r="AC142" s="46">
        <f t="shared" si="119"/>
        <v>0</v>
      </c>
      <c r="AD142" s="46">
        <f t="shared" si="119"/>
        <v>0</v>
      </c>
      <c r="AE142" s="46">
        <f t="shared" si="119"/>
        <v>0</v>
      </c>
      <c r="AF142" s="46">
        <f t="shared" si="119"/>
        <v>0</v>
      </c>
      <c r="AH142" s="46">
        <f>+AH132-AH141</f>
        <v>0</v>
      </c>
      <c r="AI142" s="46">
        <f>+AI132-AI141</f>
        <v>0</v>
      </c>
      <c r="AJ142" s="46">
        <f>+AJ132-AJ141</f>
        <v>0</v>
      </c>
      <c r="AK142" s="46">
        <f>+AK132-AK141</f>
        <v>0</v>
      </c>
      <c r="AL142" s="46">
        <f>+AL132-AL141</f>
        <v>0</v>
      </c>
      <c r="AM142" s="46">
        <f t="shared" ref="AM142:BE142" si="120">+AM132-AM141</f>
        <v>0</v>
      </c>
      <c r="AN142" s="46">
        <f t="shared" si="120"/>
        <v>0</v>
      </c>
      <c r="AO142" s="46">
        <f t="shared" si="120"/>
        <v>0</v>
      </c>
      <c r="AP142" s="46">
        <f t="shared" si="120"/>
        <v>0</v>
      </c>
      <c r="AQ142" s="46">
        <f t="shared" si="120"/>
        <v>0</v>
      </c>
      <c r="AR142" s="46">
        <f t="shared" si="120"/>
        <v>0</v>
      </c>
      <c r="AS142" s="46">
        <f t="shared" si="120"/>
        <v>0</v>
      </c>
      <c r="AT142" s="46">
        <f t="shared" si="120"/>
        <v>0</v>
      </c>
      <c r="AU142" s="46">
        <f t="shared" si="120"/>
        <v>0</v>
      </c>
      <c r="AV142" s="46">
        <f t="shared" si="120"/>
        <v>0</v>
      </c>
      <c r="AW142" s="46">
        <f t="shared" si="120"/>
        <v>0</v>
      </c>
      <c r="AX142" s="46">
        <f t="shared" si="120"/>
        <v>0</v>
      </c>
      <c r="AY142" s="46">
        <f t="shared" si="120"/>
        <v>0</v>
      </c>
      <c r="AZ142" s="46">
        <f t="shared" si="120"/>
        <v>0</v>
      </c>
      <c r="BA142" s="46">
        <f t="shared" si="120"/>
        <v>0</v>
      </c>
      <c r="BB142" s="46">
        <f t="shared" si="120"/>
        <v>0</v>
      </c>
      <c r="BC142" s="46">
        <f t="shared" si="120"/>
        <v>0</v>
      </c>
      <c r="BD142" s="46">
        <f t="shared" si="120"/>
        <v>0</v>
      </c>
      <c r="BE142" s="46">
        <f t="shared" si="120"/>
        <v>0</v>
      </c>
      <c r="BG142" s="46">
        <f t="shared" ref="BG142:CD142" si="121">+BG132-BG141</f>
        <v>0</v>
      </c>
      <c r="BH142" s="46">
        <f t="shared" si="121"/>
        <v>0</v>
      </c>
      <c r="BI142" s="46">
        <f t="shared" si="121"/>
        <v>0</v>
      </c>
      <c r="BJ142" s="46">
        <f t="shared" si="121"/>
        <v>0</v>
      </c>
      <c r="BK142" s="46">
        <f t="shared" si="121"/>
        <v>0</v>
      </c>
      <c r="BL142" s="46">
        <f t="shared" si="121"/>
        <v>0</v>
      </c>
      <c r="BM142" s="46">
        <f t="shared" si="121"/>
        <v>0</v>
      </c>
      <c r="BN142" s="46">
        <f t="shared" si="121"/>
        <v>0</v>
      </c>
      <c r="BO142" s="46">
        <f t="shared" si="121"/>
        <v>0</v>
      </c>
      <c r="BP142" s="46">
        <f t="shared" si="121"/>
        <v>0</v>
      </c>
      <c r="BQ142" s="46">
        <f t="shared" si="121"/>
        <v>0</v>
      </c>
      <c r="BR142" s="46">
        <f t="shared" si="121"/>
        <v>0</v>
      </c>
      <c r="BS142" s="46">
        <f t="shared" si="121"/>
        <v>0</v>
      </c>
      <c r="BT142" s="46">
        <f t="shared" si="121"/>
        <v>0</v>
      </c>
      <c r="BU142" s="46">
        <f t="shared" si="121"/>
        <v>0</v>
      </c>
      <c r="BV142" s="46">
        <f t="shared" si="121"/>
        <v>0</v>
      </c>
      <c r="BW142" s="46">
        <f t="shared" si="121"/>
        <v>0</v>
      </c>
      <c r="BX142" s="46">
        <f t="shared" si="121"/>
        <v>0</v>
      </c>
      <c r="BY142" s="46">
        <f t="shared" si="121"/>
        <v>0</v>
      </c>
      <c r="BZ142" s="46">
        <f t="shared" si="121"/>
        <v>0</v>
      </c>
      <c r="CA142" s="46">
        <f t="shared" si="121"/>
        <v>0</v>
      </c>
      <c r="CB142" s="46">
        <f t="shared" si="121"/>
        <v>0</v>
      </c>
      <c r="CC142" s="46">
        <f t="shared" si="121"/>
        <v>0</v>
      </c>
      <c r="CD142" s="46">
        <f t="shared" si="121"/>
        <v>0</v>
      </c>
      <c r="CE142" s="46"/>
      <c r="CF142" s="46"/>
      <c r="CG142" s="46"/>
      <c r="CH142" s="46"/>
      <c r="CI142" s="46"/>
      <c r="CJ142" s="46"/>
      <c r="CK142" s="46"/>
      <c r="CL142" s="46"/>
      <c r="CM142" s="46"/>
      <c r="CN142" s="46"/>
      <c r="CO142" s="46"/>
      <c r="CP142" s="46"/>
      <c r="CQ142" s="46"/>
      <c r="CR142" s="46"/>
      <c r="CS142" s="46"/>
      <c r="CT142" s="46"/>
      <c r="CU142" s="46"/>
      <c r="CV142" s="46"/>
      <c r="CW142" s="46"/>
      <c r="CX142" s="46"/>
      <c r="CY142" s="46"/>
      <c r="CZ142" s="46"/>
      <c r="DA142" s="46"/>
      <c r="DB142" s="46"/>
      <c r="DC142" s="46"/>
      <c r="DD142" s="46"/>
      <c r="DE142" s="46"/>
      <c r="DF142" s="46"/>
      <c r="DG142" s="46"/>
      <c r="DH142" s="46"/>
      <c r="DI142" s="46"/>
      <c r="DJ142" s="46"/>
      <c r="DK142" s="46"/>
      <c r="DL142" s="46"/>
      <c r="DM142" s="46"/>
      <c r="DN142" s="46"/>
      <c r="DO142" s="46"/>
      <c r="DP142" s="46"/>
      <c r="DQ142" s="46"/>
      <c r="DR142" s="46"/>
      <c r="DS142" s="46"/>
      <c r="DT142" s="46"/>
      <c r="DU142" s="46"/>
      <c r="DV142" s="46"/>
      <c r="DW142" s="46"/>
      <c r="DX142" s="46"/>
      <c r="DY142" s="46"/>
      <c r="DZ142" s="46"/>
      <c r="EA142" s="46"/>
      <c r="EB142" s="46"/>
      <c r="EC142" s="46"/>
    </row>
    <row r="143" spans="1:137" ht="18.75" customHeight="1" x14ac:dyDescent="0.25">
      <c r="D143" s="113"/>
      <c r="E143" s="114"/>
      <c r="K143" s="46"/>
      <c r="AB143" s="46"/>
      <c r="AC143" s="46"/>
      <c r="AF143" s="46"/>
      <c r="ED143" s="138" t="s">
        <v>41</v>
      </c>
      <c r="EE143" s="46">
        <f ca="1">EE135+EE136+EE137+EE138+EE139+EE140+EE141</f>
        <v>47285614871</v>
      </c>
      <c r="EF143" s="46">
        <f>EF135+EF136+EF137+EF138+EF139+EF140+EF141</f>
        <v>26211798776</v>
      </c>
      <c r="EG143" s="139">
        <f ca="1">+CE141</f>
        <v>0.55432923622772956</v>
      </c>
    </row>
    <row r="148" spans="12:12" ht="15" x14ac:dyDescent="0.25">
      <c r="L148" s="1"/>
    </row>
    <row r="149" spans="12:12" ht="15" x14ac:dyDescent="0.25">
      <c r="L149" s="1"/>
    </row>
    <row r="198" spans="4:109" ht="52.95" customHeight="1" x14ac:dyDescent="0.3">
      <c r="D198" s="144" t="s">
        <v>400</v>
      </c>
      <c r="E198" s="148"/>
      <c r="F198" s="148"/>
      <c r="G198" s="143" t="s">
        <v>404</v>
      </c>
      <c r="H198" s="148"/>
      <c r="I198" s="148"/>
      <c r="J198" s="148"/>
      <c r="K198" s="148"/>
      <c r="L198" s="148"/>
      <c r="M198" s="148"/>
      <c r="N198" s="148"/>
      <c r="O198" s="148"/>
      <c r="P198" s="148"/>
      <c r="Q198" s="148"/>
      <c r="R198" s="148"/>
      <c r="S198" s="148"/>
      <c r="T198" s="148"/>
      <c r="U198" s="148"/>
      <c r="V198" s="148"/>
      <c r="W198" s="148"/>
      <c r="X198" s="148"/>
      <c r="Y198" s="148"/>
      <c r="Z198" s="148"/>
      <c r="AA198" s="148"/>
      <c r="AB198" s="148"/>
      <c r="AC198" s="148"/>
      <c r="AD198" s="148"/>
      <c r="AE198" s="148"/>
      <c r="AF198" s="148"/>
      <c r="AG198" s="148"/>
      <c r="AH198" s="148"/>
      <c r="AI198" s="148"/>
      <c r="AJ198" s="148"/>
      <c r="AK198" s="148"/>
      <c r="AL198" s="148"/>
      <c r="AM198" s="148"/>
      <c r="AN198" s="148"/>
      <c r="AO198" s="148"/>
      <c r="AP198" s="148"/>
      <c r="AQ198" s="148"/>
      <c r="AR198" s="148"/>
      <c r="AS198" s="148"/>
      <c r="AT198" s="148"/>
      <c r="AU198" s="148"/>
      <c r="AV198" s="148"/>
      <c r="AW198" s="148"/>
      <c r="AX198" s="148"/>
      <c r="AY198" s="148"/>
      <c r="AZ198" s="148"/>
      <c r="BA198" s="148"/>
      <c r="BB198" s="148"/>
      <c r="BC198" s="148"/>
      <c r="BD198" s="148"/>
      <c r="BE198" s="148"/>
      <c r="BF198" s="148"/>
      <c r="BG198" s="148"/>
      <c r="BH198" s="148"/>
      <c r="BI198" s="148"/>
      <c r="BJ198" s="148"/>
      <c r="BK198" s="148"/>
      <c r="BL198" s="148"/>
      <c r="BM198" s="148"/>
      <c r="BN198" s="148"/>
      <c r="BO198" s="148"/>
      <c r="BP198" s="148"/>
      <c r="BQ198" s="148"/>
      <c r="BR198" s="148"/>
      <c r="BS198" s="148"/>
      <c r="BT198" s="148"/>
      <c r="BU198" s="148"/>
      <c r="BV198" s="148"/>
      <c r="BW198" s="148"/>
      <c r="BX198" s="148"/>
      <c r="BY198" s="148"/>
      <c r="BZ198" s="148"/>
      <c r="CA198" s="148"/>
      <c r="CB198" s="148"/>
      <c r="CC198" s="148"/>
      <c r="CD198" s="148"/>
      <c r="CE198" s="149" t="s">
        <v>405</v>
      </c>
      <c r="CF198" s="143" t="s">
        <v>406</v>
      </c>
      <c r="CG198" s="150"/>
      <c r="CH198" s="150"/>
      <c r="CI198" s="150"/>
      <c r="CJ198" s="150"/>
      <c r="CK198" s="150"/>
      <c r="CL198" s="150"/>
      <c r="CM198" s="150"/>
      <c r="CN198" s="150"/>
      <c r="CO198" s="150"/>
      <c r="CP198" s="150"/>
      <c r="CQ198" s="150"/>
      <c r="CR198" s="150"/>
      <c r="CS198" s="150"/>
      <c r="CT198" s="150"/>
      <c r="CU198" s="150"/>
      <c r="CV198" s="150"/>
      <c r="CW198" s="150"/>
      <c r="CX198" s="150"/>
      <c r="CY198" s="150"/>
      <c r="CZ198" s="150"/>
      <c r="DA198" s="150"/>
      <c r="DB198" s="150"/>
      <c r="DC198" s="150"/>
      <c r="DD198" s="143" t="s">
        <v>407</v>
      </c>
      <c r="DE198" s="146"/>
    </row>
    <row r="199" spans="4:109" x14ac:dyDescent="0.3">
      <c r="D199" s="147" t="s">
        <v>401</v>
      </c>
      <c r="E199" s="147"/>
      <c r="F199" s="147"/>
      <c r="G199" s="145">
        <f>+'[13]P. ACCIÓN CONSOL 30 NOV DE 2021'!$BF$199</f>
        <v>1271120167</v>
      </c>
      <c r="H199" s="147"/>
      <c r="I199" s="147"/>
      <c r="J199" s="147"/>
      <c r="K199" s="147"/>
      <c r="L199" s="147"/>
      <c r="M199" s="147"/>
      <c r="N199" s="147"/>
      <c r="O199" s="147"/>
      <c r="P199" s="147"/>
      <c r="Q199" s="147"/>
      <c r="R199" s="147"/>
      <c r="S199" s="147"/>
      <c r="T199" s="147"/>
      <c r="U199" s="147"/>
      <c r="V199" s="147"/>
      <c r="W199" s="147"/>
      <c r="X199" s="147"/>
      <c r="Y199" s="147"/>
      <c r="Z199" s="147"/>
      <c r="AA199" s="147"/>
      <c r="AB199" s="147"/>
      <c r="AC199" s="147"/>
      <c r="AD199" s="147"/>
      <c r="AE199" s="147"/>
      <c r="AF199" s="147"/>
      <c r="AG199" s="147"/>
      <c r="AH199" s="147"/>
      <c r="AI199" s="147"/>
      <c r="AJ199" s="147"/>
      <c r="AK199" s="147"/>
      <c r="AL199" s="147"/>
      <c r="AM199" s="147"/>
      <c r="AN199" s="147"/>
      <c r="AO199" s="147"/>
      <c r="AP199" s="147"/>
      <c r="AQ199" s="147"/>
      <c r="AR199" s="147"/>
      <c r="AS199" s="147"/>
      <c r="AT199" s="147"/>
      <c r="AU199" s="147"/>
      <c r="AV199" s="147"/>
      <c r="AW199" s="147"/>
      <c r="AX199" s="147"/>
      <c r="AY199" s="147"/>
      <c r="AZ199" s="147"/>
      <c r="BA199" s="147"/>
      <c r="BB199" s="147"/>
      <c r="BC199" s="147"/>
      <c r="BD199" s="147"/>
      <c r="BE199" s="147"/>
      <c r="BF199" s="147"/>
      <c r="BG199" s="147"/>
      <c r="BH199" s="147"/>
      <c r="BI199" s="147"/>
      <c r="BJ199" s="147"/>
      <c r="BK199" s="147"/>
      <c r="BL199" s="147"/>
      <c r="BM199" s="147"/>
      <c r="BN199" s="147"/>
      <c r="BO199" s="147"/>
      <c r="BP199" s="147"/>
      <c r="BQ199" s="147"/>
      <c r="BR199" s="147"/>
      <c r="BS199" s="147"/>
      <c r="BT199" s="147"/>
      <c r="BU199" s="147"/>
      <c r="BV199" s="147"/>
      <c r="BW199" s="147"/>
      <c r="BX199" s="147"/>
      <c r="BY199" s="147"/>
      <c r="BZ199" s="147"/>
      <c r="CA199" s="147"/>
      <c r="CB199" s="147"/>
      <c r="CC199" s="147"/>
      <c r="CD199" s="147"/>
      <c r="CE199" s="145">
        <f>CF199-G199</f>
        <v>226126279</v>
      </c>
      <c r="CF199" s="145">
        <v>1497246446</v>
      </c>
      <c r="CG199" s="147"/>
      <c r="CH199" s="147"/>
      <c r="CI199" s="147"/>
      <c r="CJ199" s="147"/>
      <c r="CK199" s="147"/>
      <c r="CL199" s="147"/>
      <c r="CM199" s="147"/>
      <c r="CN199" s="147"/>
      <c r="CO199" s="147"/>
      <c r="CP199" s="147"/>
      <c r="CQ199" s="147"/>
      <c r="CR199" s="147"/>
      <c r="CS199" s="147"/>
      <c r="CT199" s="147"/>
      <c r="CU199" s="147"/>
      <c r="CV199" s="147"/>
      <c r="CW199" s="147"/>
      <c r="CX199" s="147"/>
      <c r="CY199" s="147"/>
      <c r="CZ199" s="147"/>
      <c r="DA199" s="147"/>
      <c r="DB199" s="147"/>
      <c r="DC199" s="147"/>
      <c r="DD199" s="154">
        <f>+CE25</f>
        <v>0.56017603300782848</v>
      </c>
    </row>
    <row r="200" spans="4:109" x14ac:dyDescent="0.3">
      <c r="D200" s="147" t="s">
        <v>390</v>
      </c>
      <c r="E200" s="147"/>
      <c r="F200" s="147"/>
      <c r="G200" s="145">
        <f>+'[13]P. ACCIÓN CONSOL 30 NOV DE 2021'!$BF$200</f>
        <v>5126063358</v>
      </c>
      <c r="H200" s="147"/>
      <c r="I200" s="147"/>
      <c r="J200" s="147"/>
      <c r="K200" s="147"/>
      <c r="L200" s="147"/>
      <c r="M200" s="147"/>
      <c r="N200" s="147"/>
      <c r="O200" s="147"/>
      <c r="P200" s="147"/>
      <c r="Q200" s="147"/>
      <c r="R200" s="147"/>
      <c r="S200" s="147"/>
      <c r="T200" s="147"/>
      <c r="U200" s="147"/>
      <c r="V200" s="147"/>
      <c r="W200" s="147"/>
      <c r="X200" s="147"/>
      <c r="Y200" s="147"/>
      <c r="Z200" s="147"/>
      <c r="AA200" s="147"/>
      <c r="AB200" s="147"/>
      <c r="AC200" s="147"/>
      <c r="AD200" s="147"/>
      <c r="AE200" s="147"/>
      <c r="AF200" s="147"/>
      <c r="AG200" s="147"/>
      <c r="AH200" s="147"/>
      <c r="AI200" s="147"/>
      <c r="AJ200" s="147"/>
      <c r="AK200" s="147"/>
      <c r="AL200" s="147"/>
      <c r="AM200" s="147"/>
      <c r="AN200" s="147"/>
      <c r="AO200" s="147"/>
      <c r="AP200" s="147"/>
      <c r="AQ200" s="147"/>
      <c r="AR200" s="147"/>
      <c r="AS200" s="147"/>
      <c r="AT200" s="147"/>
      <c r="AU200" s="147"/>
      <c r="AV200" s="147"/>
      <c r="AW200" s="147"/>
      <c r="AX200" s="147"/>
      <c r="AY200" s="147"/>
      <c r="AZ200" s="147"/>
      <c r="BA200" s="147"/>
      <c r="BB200" s="147"/>
      <c r="BC200" s="147"/>
      <c r="BD200" s="147"/>
      <c r="BE200" s="147"/>
      <c r="BF200" s="147"/>
      <c r="BG200" s="147"/>
      <c r="BH200" s="147"/>
      <c r="BI200" s="147"/>
      <c r="BJ200" s="147"/>
      <c r="BK200" s="147"/>
      <c r="BL200" s="147"/>
      <c r="BM200" s="147"/>
      <c r="BN200" s="147"/>
      <c r="BO200" s="147"/>
      <c r="BP200" s="147"/>
      <c r="BQ200" s="147"/>
      <c r="BR200" s="147"/>
      <c r="BS200" s="147"/>
      <c r="BT200" s="147"/>
      <c r="BU200" s="147"/>
      <c r="BV200" s="147"/>
      <c r="BW200" s="147"/>
      <c r="BX200" s="147"/>
      <c r="BY200" s="147"/>
      <c r="BZ200" s="147"/>
      <c r="CA200" s="147"/>
      <c r="CB200" s="147"/>
      <c r="CC200" s="147"/>
      <c r="CD200" s="147"/>
      <c r="CE200" s="145">
        <f>CF200-G200</f>
        <v>315792636</v>
      </c>
      <c r="CF200" s="145">
        <v>5441855994</v>
      </c>
      <c r="CG200" s="147"/>
      <c r="CH200" s="147"/>
      <c r="CI200" s="147"/>
      <c r="CJ200" s="147"/>
      <c r="CK200" s="147"/>
      <c r="CL200" s="147"/>
      <c r="CM200" s="147"/>
      <c r="CN200" s="147"/>
      <c r="CO200" s="147"/>
      <c r="CP200" s="147"/>
      <c r="CQ200" s="147"/>
      <c r="CR200" s="147"/>
      <c r="CS200" s="147"/>
      <c r="CT200" s="147"/>
      <c r="CU200" s="147"/>
      <c r="CV200" s="147"/>
      <c r="CW200" s="147"/>
      <c r="CX200" s="147"/>
      <c r="CY200" s="147"/>
      <c r="CZ200" s="147"/>
      <c r="DA200" s="147"/>
      <c r="DB200" s="147"/>
      <c r="DC200" s="147"/>
      <c r="DD200" s="154">
        <f>+CE51</f>
        <v>0.59088263575913857</v>
      </c>
    </row>
    <row r="201" spans="4:109" x14ac:dyDescent="0.3">
      <c r="D201" s="147" t="s">
        <v>402</v>
      </c>
      <c r="E201" s="147"/>
      <c r="F201" s="147"/>
      <c r="G201" s="145">
        <f>+'[13]P. ACCIÓN CONSOL 30 NOV DE 2021'!$BF$201</f>
        <v>3439805709</v>
      </c>
      <c r="H201" s="147"/>
      <c r="I201" s="147"/>
      <c r="J201" s="147"/>
      <c r="K201" s="147"/>
      <c r="L201" s="147"/>
      <c r="M201" s="147"/>
      <c r="N201" s="147"/>
      <c r="O201" s="147"/>
      <c r="P201" s="147"/>
      <c r="Q201" s="147"/>
      <c r="R201" s="147"/>
      <c r="S201" s="147"/>
      <c r="T201" s="147"/>
      <c r="U201" s="147"/>
      <c r="V201" s="147"/>
      <c r="W201" s="147"/>
      <c r="X201" s="147"/>
      <c r="Y201" s="147"/>
      <c r="Z201" s="147"/>
      <c r="AA201" s="147"/>
      <c r="AB201" s="147"/>
      <c r="AC201" s="147"/>
      <c r="AD201" s="147"/>
      <c r="AE201" s="147"/>
      <c r="AF201" s="147"/>
      <c r="AG201" s="147"/>
      <c r="AH201" s="147"/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147"/>
      <c r="AW201" s="147"/>
      <c r="AX201" s="147"/>
      <c r="AY201" s="147"/>
      <c r="AZ201" s="147"/>
      <c r="BA201" s="147"/>
      <c r="BB201" s="147"/>
      <c r="BC201" s="147"/>
      <c r="BD201" s="147"/>
      <c r="BE201" s="147"/>
      <c r="BF201" s="147"/>
      <c r="BG201" s="147"/>
      <c r="BH201" s="147"/>
      <c r="BI201" s="147"/>
      <c r="BJ201" s="147"/>
      <c r="BK201" s="147"/>
      <c r="BL201" s="147"/>
      <c r="BM201" s="147"/>
      <c r="BN201" s="147"/>
      <c r="BO201" s="147"/>
      <c r="BP201" s="147"/>
      <c r="BQ201" s="147"/>
      <c r="BR201" s="147"/>
      <c r="BS201" s="147"/>
      <c r="BT201" s="147"/>
      <c r="BU201" s="147"/>
      <c r="BV201" s="147"/>
      <c r="BW201" s="147"/>
      <c r="BX201" s="147"/>
      <c r="BY201" s="147"/>
      <c r="BZ201" s="147"/>
      <c r="CA201" s="147"/>
      <c r="CB201" s="147"/>
      <c r="CC201" s="147"/>
      <c r="CD201" s="147"/>
      <c r="CE201" s="145">
        <f t="shared" ref="CE201:CE203" si="122">CF201-G201</f>
        <v>75042240</v>
      </c>
      <c r="CF201" s="145">
        <v>3514847949</v>
      </c>
      <c r="CG201" s="147"/>
      <c r="CH201" s="147"/>
      <c r="CI201" s="147"/>
      <c r="CJ201" s="147"/>
      <c r="CK201" s="147"/>
      <c r="CL201" s="147"/>
      <c r="CM201" s="147"/>
      <c r="CN201" s="147"/>
      <c r="CO201" s="147"/>
      <c r="CP201" s="147"/>
      <c r="CQ201" s="147"/>
      <c r="CR201" s="147"/>
      <c r="CS201" s="147"/>
      <c r="CT201" s="147"/>
      <c r="CU201" s="147"/>
      <c r="CV201" s="147"/>
      <c r="CW201" s="147"/>
      <c r="CX201" s="147"/>
      <c r="CY201" s="147"/>
      <c r="CZ201" s="147"/>
      <c r="DA201" s="147"/>
      <c r="DB201" s="147"/>
      <c r="DC201" s="147"/>
      <c r="DD201" s="154">
        <f>+CE78</f>
        <v>0.82320903549162328</v>
      </c>
    </row>
    <row r="202" spans="4:109" x14ac:dyDescent="0.3">
      <c r="D202" s="147" t="s">
        <v>239</v>
      </c>
      <c r="E202" s="147"/>
      <c r="F202" s="147"/>
      <c r="G202" s="145">
        <f>+'[13]P. ACCIÓN CONSOL 30 NOV DE 2021'!$BF$202</f>
        <v>2143880074</v>
      </c>
      <c r="H202" s="147"/>
      <c r="I202" s="147"/>
      <c r="J202" s="147"/>
      <c r="K202" s="147"/>
      <c r="L202" s="147"/>
      <c r="M202" s="147"/>
      <c r="N202" s="147"/>
      <c r="O202" s="147"/>
      <c r="P202" s="147"/>
      <c r="Q202" s="147"/>
      <c r="R202" s="147"/>
      <c r="S202" s="147"/>
      <c r="T202" s="147"/>
      <c r="U202" s="147"/>
      <c r="V202" s="147"/>
      <c r="W202" s="147"/>
      <c r="X202" s="147"/>
      <c r="Y202" s="147"/>
      <c r="Z202" s="147"/>
      <c r="AA202" s="147"/>
      <c r="AB202" s="147"/>
      <c r="AC202" s="147"/>
      <c r="AD202" s="147"/>
      <c r="AE202" s="147"/>
      <c r="AF202" s="147"/>
      <c r="AG202" s="147"/>
      <c r="AH202" s="147"/>
      <c r="AI202" s="147"/>
      <c r="AJ202" s="147"/>
      <c r="AK202" s="147"/>
      <c r="AL202" s="147"/>
      <c r="AM202" s="147"/>
      <c r="AN202" s="147"/>
      <c r="AO202" s="147"/>
      <c r="AP202" s="147"/>
      <c r="AQ202" s="147"/>
      <c r="AR202" s="147"/>
      <c r="AS202" s="147"/>
      <c r="AT202" s="147"/>
      <c r="AU202" s="147"/>
      <c r="AV202" s="147"/>
      <c r="AW202" s="147"/>
      <c r="AX202" s="147"/>
      <c r="AY202" s="147"/>
      <c r="AZ202" s="147"/>
      <c r="BA202" s="147"/>
      <c r="BB202" s="147"/>
      <c r="BC202" s="147"/>
      <c r="BD202" s="147"/>
      <c r="BE202" s="147"/>
      <c r="BF202" s="147"/>
      <c r="BG202" s="147"/>
      <c r="BH202" s="147"/>
      <c r="BI202" s="147"/>
      <c r="BJ202" s="147"/>
      <c r="BK202" s="147"/>
      <c r="BL202" s="147"/>
      <c r="BM202" s="147"/>
      <c r="BN202" s="147"/>
      <c r="BO202" s="147"/>
      <c r="BP202" s="147"/>
      <c r="BQ202" s="147"/>
      <c r="BR202" s="147"/>
      <c r="BS202" s="147"/>
      <c r="BT202" s="147"/>
      <c r="BU202" s="147"/>
      <c r="BV202" s="147"/>
      <c r="BW202" s="147"/>
      <c r="BX202" s="147"/>
      <c r="BY202" s="147"/>
      <c r="BZ202" s="147"/>
      <c r="CA202" s="147"/>
      <c r="CB202" s="147"/>
      <c r="CC202" s="147"/>
      <c r="CD202" s="147"/>
      <c r="CE202" s="145">
        <f t="shared" si="122"/>
        <v>14014596</v>
      </c>
      <c r="CF202" s="145">
        <v>2157894670</v>
      </c>
      <c r="CG202" s="147"/>
      <c r="CH202" s="147"/>
      <c r="CI202" s="147"/>
      <c r="CJ202" s="147"/>
      <c r="CK202" s="147"/>
      <c r="CL202" s="147"/>
      <c r="CM202" s="147"/>
      <c r="CN202" s="147"/>
      <c r="CO202" s="147"/>
      <c r="CP202" s="147"/>
      <c r="CQ202" s="147"/>
      <c r="CR202" s="147"/>
      <c r="CS202" s="147"/>
      <c r="CT202" s="147"/>
      <c r="CU202" s="147"/>
      <c r="CV202" s="147"/>
      <c r="CW202" s="147"/>
      <c r="CX202" s="147"/>
      <c r="CY202" s="147"/>
      <c r="CZ202" s="147"/>
      <c r="DA202" s="147"/>
      <c r="DB202" s="147"/>
      <c r="DC202" s="147"/>
      <c r="DD202" s="154">
        <f>+CE98</f>
        <v>0.46718510336537838</v>
      </c>
    </row>
    <row r="203" spans="4:109" x14ac:dyDescent="0.3">
      <c r="D203" s="147" t="s">
        <v>314</v>
      </c>
      <c r="E203" s="147"/>
      <c r="F203" s="147"/>
      <c r="G203" s="145">
        <f>+'[13]P. ACCIÓN CONSOL 30 NOV DE 2021'!$BF$203</f>
        <v>11440336323</v>
      </c>
      <c r="H203" s="147"/>
      <c r="I203" s="147"/>
      <c r="J203" s="147"/>
      <c r="K203" s="147"/>
      <c r="L203" s="147"/>
      <c r="M203" s="147"/>
      <c r="N203" s="147"/>
      <c r="O203" s="147"/>
      <c r="P203" s="147"/>
      <c r="Q203" s="147"/>
      <c r="R203" s="147"/>
      <c r="S203" s="147"/>
      <c r="T203" s="147"/>
      <c r="U203" s="147"/>
      <c r="V203" s="147"/>
      <c r="W203" s="147"/>
      <c r="X203" s="147"/>
      <c r="Y203" s="147"/>
      <c r="Z203" s="147"/>
      <c r="AA203" s="147"/>
      <c r="AB203" s="147"/>
      <c r="AC203" s="147"/>
      <c r="AD203" s="147"/>
      <c r="AE203" s="147"/>
      <c r="AF203" s="147"/>
      <c r="AG203" s="147"/>
      <c r="AH203" s="147"/>
      <c r="AI203" s="147"/>
      <c r="AJ203" s="147"/>
      <c r="AK203" s="147"/>
      <c r="AL203" s="147"/>
      <c r="AM203" s="147"/>
      <c r="AN203" s="147"/>
      <c r="AO203" s="147"/>
      <c r="AP203" s="147"/>
      <c r="AQ203" s="147"/>
      <c r="AR203" s="147"/>
      <c r="AS203" s="147"/>
      <c r="AT203" s="147"/>
      <c r="AU203" s="147"/>
      <c r="AV203" s="147"/>
      <c r="AW203" s="147"/>
      <c r="AX203" s="147"/>
      <c r="AY203" s="147"/>
      <c r="AZ203" s="147"/>
      <c r="BA203" s="147"/>
      <c r="BB203" s="147"/>
      <c r="BC203" s="147"/>
      <c r="BD203" s="147"/>
      <c r="BE203" s="147"/>
      <c r="BF203" s="147"/>
      <c r="BG203" s="147"/>
      <c r="BH203" s="147"/>
      <c r="BI203" s="147"/>
      <c r="BJ203" s="147"/>
      <c r="BK203" s="147"/>
      <c r="BL203" s="147"/>
      <c r="BM203" s="147"/>
      <c r="BN203" s="147"/>
      <c r="BO203" s="147"/>
      <c r="BP203" s="147"/>
      <c r="BQ203" s="147"/>
      <c r="BR203" s="147"/>
      <c r="BS203" s="147"/>
      <c r="BT203" s="147"/>
      <c r="BU203" s="147"/>
      <c r="BV203" s="147"/>
      <c r="BW203" s="147"/>
      <c r="BX203" s="147"/>
      <c r="BY203" s="147"/>
      <c r="BZ203" s="147"/>
      <c r="CA203" s="147"/>
      <c r="CB203" s="147"/>
      <c r="CC203" s="147"/>
      <c r="CD203" s="147"/>
      <c r="CE203" s="145">
        <f t="shared" si="122"/>
        <v>2159617394</v>
      </c>
      <c r="CF203" s="145">
        <v>13599953717</v>
      </c>
      <c r="CG203" s="147"/>
      <c r="CH203" s="147"/>
      <c r="CI203" s="147"/>
      <c r="CJ203" s="147"/>
      <c r="CK203" s="147"/>
      <c r="CL203" s="147"/>
      <c r="CM203" s="147"/>
      <c r="CN203" s="147"/>
      <c r="CO203" s="147"/>
      <c r="CP203" s="147"/>
      <c r="CQ203" s="147"/>
      <c r="CR203" s="147"/>
      <c r="CS203" s="147"/>
      <c r="CT203" s="147"/>
      <c r="CU203" s="147"/>
      <c r="CV203" s="147"/>
      <c r="CW203" s="147"/>
      <c r="CX203" s="147"/>
      <c r="CY203" s="147"/>
      <c r="CZ203" s="147"/>
      <c r="DA203" s="147"/>
      <c r="DB203" s="147"/>
      <c r="DC203" s="147"/>
      <c r="DD203" s="154">
        <f>+CE130</f>
        <v>0.51292564160449361</v>
      </c>
    </row>
    <row r="204" spans="4:109" ht="15" thickBot="1" x14ac:dyDescent="0.35">
      <c r="D204" s="151" t="s">
        <v>403</v>
      </c>
      <c r="E204" s="104"/>
      <c r="F204" s="104"/>
      <c r="G204" s="153">
        <f>SUM(G199:G203)</f>
        <v>23421205631</v>
      </c>
      <c r="H204" s="153">
        <f t="shared" ref="H204:BS204" si="123">SUM(H199:H203)</f>
        <v>0</v>
      </c>
      <c r="I204" s="153">
        <f t="shared" si="123"/>
        <v>0</v>
      </c>
      <c r="J204" s="153">
        <f t="shared" si="123"/>
        <v>0</v>
      </c>
      <c r="K204" s="153">
        <f t="shared" si="123"/>
        <v>0</v>
      </c>
      <c r="L204" s="153">
        <f t="shared" si="123"/>
        <v>0</v>
      </c>
      <c r="M204" s="153">
        <f t="shared" si="123"/>
        <v>0</v>
      </c>
      <c r="N204" s="153">
        <f t="shared" si="123"/>
        <v>0</v>
      </c>
      <c r="O204" s="153">
        <f t="shared" si="123"/>
        <v>0</v>
      </c>
      <c r="P204" s="153">
        <f t="shared" si="123"/>
        <v>0</v>
      </c>
      <c r="Q204" s="153">
        <f t="shared" si="123"/>
        <v>0</v>
      </c>
      <c r="R204" s="153">
        <f t="shared" si="123"/>
        <v>0</v>
      </c>
      <c r="S204" s="153">
        <f t="shared" si="123"/>
        <v>0</v>
      </c>
      <c r="T204" s="153">
        <f t="shared" si="123"/>
        <v>0</v>
      </c>
      <c r="U204" s="153">
        <f t="shared" si="123"/>
        <v>0</v>
      </c>
      <c r="V204" s="153">
        <f t="shared" si="123"/>
        <v>0</v>
      </c>
      <c r="W204" s="153">
        <f t="shared" si="123"/>
        <v>0</v>
      </c>
      <c r="X204" s="153">
        <f t="shared" si="123"/>
        <v>0</v>
      </c>
      <c r="Y204" s="153">
        <f t="shared" si="123"/>
        <v>0</v>
      </c>
      <c r="Z204" s="153">
        <f t="shared" si="123"/>
        <v>0</v>
      </c>
      <c r="AA204" s="153">
        <f t="shared" si="123"/>
        <v>0</v>
      </c>
      <c r="AB204" s="153">
        <f t="shared" si="123"/>
        <v>0</v>
      </c>
      <c r="AC204" s="153">
        <f t="shared" si="123"/>
        <v>0</v>
      </c>
      <c r="AD204" s="153">
        <f t="shared" si="123"/>
        <v>0</v>
      </c>
      <c r="AE204" s="153">
        <f t="shared" si="123"/>
        <v>0</v>
      </c>
      <c r="AF204" s="153">
        <f t="shared" si="123"/>
        <v>0</v>
      </c>
      <c r="AG204" s="153">
        <f t="shared" si="123"/>
        <v>0</v>
      </c>
      <c r="AH204" s="153">
        <f t="shared" si="123"/>
        <v>0</v>
      </c>
      <c r="AI204" s="153">
        <f t="shared" si="123"/>
        <v>0</v>
      </c>
      <c r="AJ204" s="153">
        <f t="shared" si="123"/>
        <v>0</v>
      </c>
      <c r="AK204" s="153">
        <f t="shared" si="123"/>
        <v>0</v>
      </c>
      <c r="AL204" s="153">
        <f t="shared" si="123"/>
        <v>0</v>
      </c>
      <c r="AM204" s="153">
        <f t="shared" si="123"/>
        <v>0</v>
      </c>
      <c r="AN204" s="153">
        <f t="shared" si="123"/>
        <v>0</v>
      </c>
      <c r="AO204" s="153">
        <f t="shared" si="123"/>
        <v>0</v>
      </c>
      <c r="AP204" s="153">
        <f t="shared" si="123"/>
        <v>0</v>
      </c>
      <c r="AQ204" s="153">
        <f t="shared" si="123"/>
        <v>0</v>
      </c>
      <c r="AR204" s="153">
        <f t="shared" si="123"/>
        <v>0</v>
      </c>
      <c r="AS204" s="153">
        <f t="shared" si="123"/>
        <v>0</v>
      </c>
      <c r="AT204" s="153">
        <f t="shared" si="123"/>
        <v>0</v>
      </c>
      <c r="AU204" s="153">
        <f t="shared" si="123"/>
        <v>0</v>
      </c>
      <c r="AV204" s="153">
        <f t="shared" si="123"/>
        <v>0</v>
      </c>
      <c r="AW204" s="153">
        <f t="shared" si="123"/>
        <v>0</v>
      </c>
      <c r="AX204" s="153">
        <f t="shared" si="123"/>
        <v>0</v>
      </c>
      <c r="AY204" s="153">
        <f t="shared" si="123"/>
        <v>0</v>
      </c>
      <c r="AZ204" s="153">
        <f t="shared" si="123"/>
        <v>0</v>
      </c>
      <c r="BA204" s="153">
        <f t="shared" si="123"/>
        <v>0</v>
      </c>
      <c r="BB204" s="153">
        <f t="shared" si="123"/>
        <v>0</v>
      </c>
      <c r="BC204" s="153">
        <f t="shared" si="123"/>
        <v>0</v>
      </c>
      <c r="BD204" s="153">
        <f t="shared" si="123"/>
        <v>0</v>
      </c>
      <c r="BE204" s="153">
        <f t="shared" si="123"/>
        <v>0</v>
      </c>
      <c r="BF204" s="153">
        <f t="shared" si="123"/>
        <v>0</v>
      </c>
      <c r="BG204" s="153">
        <f t="shared" si="123"/>
        <v>0</v>
      </c>
      <c r="BH204" s="153">
        <f t="shared" si="123"/>
        <v>0</v>
      </c>
      <c r="BI204" s="153">
        <f t="shared" si="123"/>
        <v>0</v>
      </c>
      <c r="BJ204" s="153">
        <f t="shared" si="123"/>
        <v>0</v>
      </c>
      <c r="BK204" s="153">
        <f t="shared" si="123"/>
        <v>0</v>
      </c>
      <c r="BL204" s="153">
        <f t="shared" si="123"/>
        <v>0</v>
      </c>
      <c r="BM204" s="153">
        <f t="shared" si="123"/>
        <v>0</v>
      </c>
      <c r="BN204" s="153">
        <f t="shared" si="123"/>
        <v>0</v>
      </c>
      <c r="BO204" s="153">
        <f t="shared" si="123"/>
        <v>0</v>
      </c>
      <c r="BP204" s="153">
        <f t="shared" si="123"/>
        <v>0</v>
      </c>
      <c r="BQ204" s="153">
        <f t="shared" si="123"/>
        <v>0</v>
      </c>
      <c r="BR204" s="153">
        <f t="shared" si="123"/>
        <v>0</v>
      </c>
      <c r="BS204" s="153">
        <f t="shared" si="123"/>
        <v>0</v>
      </c>
      <c r="BT204" s="153">
        <f t="shared" ref="BT204:CE204" si="124">SUM(BT199:BT203)</f>
        <v>0</v>
      </c>
      <c r="BU204" s="153">
        <f t="shared" si="124"/>
        <v>0</v>
      </c>
      <c r="BV204" s="153">
        <f t="shared" si="124"/>
        <v>0</v>
      </c>
      <c r="BW204" s="153">
        <f t="shared" si="124"/>
        <v>0</v>
      </c>
      <c r="BX204" s="153">
        <f t="shared" si="124"/>
        <v>0</v>
      </c>
      <c r="BY204" s="153">
        <f t="shared" si="124"/>
        <v>0</v>
      </c>
      <c r="BZ204" s="153">
        <f t="shared" si="124"/>
        <v>0</v>
      </c>
      <c r="CA204" s="153">
        <f t="shared" si="124"/>
        <v>0</v>
      </c>
      <c r="CB204" s="153">
        <f t="shared" si="124"/>
        <v>0</v>
      </c>
      <c r="CC204" s="153">
        <f t="shared" si="124"/>
        <v>0</v>
      </c>
      <c r="CD204" s="153">
        <f t="shared" si="124"/>
        <v>0</v>
      </c>
      <c r="CE204" s="153">
        <f t="shared" si="124"/>
        <v>2790593145</v>
      </c>
      <c r="CF204" s="153">
        <f>SUM(CF199:CF203)</f>
        <v>26211798776</v>
      </c>
      <c r="CG204" s="104"/>
      <c r="CH204" s="104"/>
      <c r="CI204" s="104"/>
      <c r="CJ204" s="104"/>
      <c r="CK204" s="104"/>
      <c r="CL204" s="104"/>
      <c r="CM204" s="104"/>
      <c r="CN204" s="104"/>
      <c r="CO204" s="104"/>
      <c r="CP204" s="104"/>
      <c r="CQ204" s="104"/>
      <c r="CR204" s="104"/>
      <c r="CS204" s="104"/>
      <c r="CT204" s="104"/>
      <c r="CU204" s="104"/>
      <c r="CV204" s="104"/>
      <c r="CW204" s="104"/>
      <c r="CX204" s="104"/>
      <c r="CY204" s="104"/>
      <c r="CZ204" s="104"/>
      <c r="DA204" s="104"/>
      <c r="DB204" s="104"/>
      <c r="DC204" s="104"/>
      <c r="DD204" s="155">
        <f>+CE132</f>
        <v>0.55432923622772956</v>
      </c>
    </row>
    <row r="205" spans="4:109" ht="15" thickTop="1" x14ac:dyDescent="0.3"/>
    <row r="206" spans="4:109" x14ac:dyDescent="0.3">
      <c r="D206" t="s">
        <v>408</v>
      </c>
      <c r="CF206" s="152"/>
    </row>
    <row r="207" spans="4:109" x14ac:dyDescent="0.3">
      <c r="D207" t="s">
        <v>411</v>
      </c>
    </row>
    <row r="208" spans="4:109" x14ac:dyDescent="0.3">
      <c r="D208" t="s">
        <v>415</v>
      </c>
    </row>
    <row r="209" spans="4:4" x14ac:dyDescent="0.3">
      <c r="D209" t="s">
        <v>409</v>
      </c>
    </row>
    <row r="211" spans="4:4" x14ac:dyDescent="0.3">
      <c r="D211" t="s">
        <v>410</v>
      </c>
    </row>
    <row r="212" spans="4:4" x14ac:dyDescent="0.3">
      <c r="D212" t="s">
        <v>413</v>
      </c>
    </row>
    <row r="213" spans="4:4" x14ac:dyDescent="0.3">
      <c r="D213" t="s">
        <v>412</v>
      </c>
    </row>
    <row r="214" spans="4:4" x14ac:dyDescent="0.3">
      <c r="D214" t="s">
        <v>417</v>
      </c>
    </row>
    <row r="215" spans="4:4" x14ac:dyDescent="0.3">
      <c r="D215" t="s">
        <v>416</v>
      </c>
    </row>
    <row r="217" spans="4:4" x14ac:dyDescent="0.3">
      <c r="D217" t="s">
        <v>414</v>
      </c>
    </row>
    <row r="218" spans="4:4" x14ac:dyDescent="0.3">
      <c r="D218" t="s">
        <v>419</v>
      </c>
    </row>
    <row r="219" spans="4:4" x14ac:dyDescent="0.3">
      <c r="D219" t="s">
        <v>418</v>
      </c>
    </row>
  </sheetData>
  <mergeCells count="66">
    <mergeCell ref="C1:DE1"/>
    <mergeCell ref="C2:DE2"/>
    <mergeCell ref="C4:EB4"/>
    <mergeCell ref="C3:EB3"/>
    <mergeCell ref="A7:A8"/>
    <mergeCell ref="B7:B8"/>
    <mergeCell ref="A5:A6"/>
    <mergeCell ref="B5:B6"/>
    <mergeCell ref="C5:C6"/>
    <mergeCell ref="D5:D6"/>
    <mergeCell ref="E5:E6"/>
    <mergeCell ref="F5:F6"/>
    <mergeCell ref="BH5:BS5"/>
    <mergeCell ref="G5:AF6"/>
    <mergeCell ref="AG5:BE5"/>
    <mergeCell ref="BF5:BG5"/>
    <mergeCell ref="DR5:EB5"/>
    <mergeCell ref="CE5:CF5"/>
    <mergeCell ref="DD5:DE5"/>
    <mergeCell ref="DF5:DG5"/>
    <mergeCell ref="DH5:DI5"/>
    <mergeCell ref="DJ5:DK5"/>
    <mergeCell ref="DL5:DM5"/>
    <mergeCell ref="DN5:DO5"/>
    <mergeCell ref="DP5:DQ5"/>
    <mergeCell ref="B26:B27"/>
    <mergeCell ref="B28:B34"/>
    <mergeCell ref="BT5:CD5"/>
    <mergeCell ref="CG5:CS5"/>
    <mergeCell ref="CV5:DC5"/>
    <mergeCell ref="B9:B12"/>
    <mergeCell ref="B13:B17"/>
    <mergeCell ref="B18:B20"/>
    <mergeCell ref="B22:B24"/>
    <mergeCell ref="B25:E25"/>
    <mergeCell ref="A35:A47"/>
    <mergeCell ref="B35:B44"/>
    <mergeCell ref="B45:B46"/>
    <mergeCell ref="B48:B50"/>
    <mergeCell ref="A52:A68"/>
    <mergeCell ref="B52:B55"/>
    <mergeCell ref="B56:B63"/>
    <mergeCell ref="B64:B68"/>
    <mergeCell ref="B51:E51"/>
    <mergeCell ref="A69:A77"/>
    <mergeCell ref="B69:B72"/>
    <mergeCell ref="B73:B76"/>
    <mergeCell ref="A79:A97"/>
    <mergeCell ref="B79:B85"/>
    <mergeCell ref="B86:B88"/>
    <mergeCell ref="B89:B90"/>
    <mergeCell ref="B91:B93"/>
    <mergeCell ref="B94:B97"/>
    <mergeCell ref="B78:E78"/>
    <mergeCell ref="B98:E98"/>
    <mergeCell ref="B130:D130"/>
    <mergeCell ref="C132:E132"/>
    <mergeCell ref="C141:D141"/>
    <mergeCell ref="A99:A106"/>
    <mergeCell ref="B99:B103"/>
    <mergeCell ref="B104:B113"/>
    <mergeCell ref="A109:A129"/>
    <mergeCell ref="B114:B115"/>
    <mergeCell ref="B116:B120"/>
    <mergeCell ref="B121:B127"/>
    <mergeCell ref="B128:B129"/>
  </mergeCells>
  <conditionalFormatting sqref="C76:D77">
    <cfRule type="duplicateValues" dxfId="0" priority="1"/>
  </conditionalFormatting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28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P. ACCIÓN A 30 DIC DE 2021 </vt:lpstr>
      <vt:lpstr>P. ACCIÓN  CONSOLIDADO 21</vt:lpstr>
      <vt:lpstr>'P. ACCIÓN  CONSOLIDADO 21'!Títulos_a_imprimir</vt:lpstr>
      <vt:lpstr>'P. ACCIÓN A 30 DIC DE 2021 '!Títulos_a_imprimir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Planeación</dc:creator>
  <cp:lastModifiedBy>Planeación</cp:lastModifiedBy>
  <dcterms:created xsi:type="dcterms:W3CDTF">2022-02-03T18:44:07Z</dcterms:created>
  <dcterms:modified xsi:type="dcterms:W3CDTF">2022-02-07T20:22:59Z</dcterms:modified>
</cp:coreProperties>
</file>